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yom\Dropbox\Karen\2020\Նոր Երզնկա\խաղահրապարակ\"/>
    </mc:Choice>
  </mc:AlternateContent>
  <bookViews>
    <workbookView xWindow="0" yWindow="0" windowWidth="20490" windowHeight="7155" tabRatio="915"/>
  </bookViews>
  <sheets>
    <sheet name="Лист1" sheetId="34" r:id="rId1"/>
  </sheets>
  <calcPr calcId="152511"/>
</workbook>
</file>

<file path=xl/calcChain.xml><?xml version="1.0" encoding="utf-8"?>
<calcChain xmlns="http://schemas.openxmlformats.org/spreadsheetml/2006/main">
  <c r="U22" i="34" l="1"/>
  <c r="U23" i="34"/>
  <c r="U24" i="34"/>
  <c r="U25" i="34"/>
  <c r="U26" i="34"/>
  <c r="U27" i="34"/>
  <c r="U28" i="34"/>
  <c r="U29" i="34"/>
  <c r="U30" i="34"/>
  <c r="U31" i="34"/>
  <c r="U32" i="34"/>
  <c r="U33" i="34"/>
  <c r="U34" i="34"/>
  <c r="U35" i="34"/>
  <c r="U36" i="34"/>
  <c r="U37" i="34"/>
  <c r="U38" i="34"/>
  <c r="U39" i="34"/>
  <c r="U40" i="34"/>
  <c r="U41" i="34"/>
  <c r="U42" i="34"/>
  <c r="U43" i="34"/>
  <c r="U44" i="34"/>
  <c r="U45" i="34"/>
  <c r="U46" i="34"/>
  <c r="U47" i="34"/>
  <c r="U48" i="34"/>
  <c r="U49" i="34"/>
  <c r="U50" i="34"/>
  <c r="U51" i="34"/>
  <c r="U52" i="34"/>
  <c r="U53" i="34"/>
  <c r="U54" i="34"/>
  <c r="U55" i="34"/>
  <c r="U56" i="34"/>
  <c r="U57" i="34"/>
  <c r="U58" i="34"/>
  <c r="U59" i="34"/>
  <c r="U60" i="34"/>
  <c r="U61" i="34"/>
  <c r="U62" i="34"/>
  <c r="U63" i="34"/>
  <c r="U64" i="34"/>
  <c r="U65" i="34"/>
  <c r="U66" i="34"/>
  <c r="U67" i="34"/>
  <c r="U68" i="34"/>
  <c r="U69" i="34"/>
  <c r="U70" i="34"/>
  <c r="U71" i="34"/>
  <c r="U72" i="34"/>
  <c r="U73" i="34"/>
  <c r="U74" i="34"/>
  <c r="U75" i="34"/>
  <c r="U76" i="34"/>
  <c r="U77" i="34"/>
  <c r="U78" i="34"/>
  <c r="U79" i="34"/>
  <c r="U80" i="34"/>
  <c r="U81" i="34"/>
  <c r="U82" i="34"/>
  <c r="U83" i="34"/>
  <c r="U84" i="34"/>
  <c r="U85" i="34"/>
  <c r="U86" i="34"/>
  <c r="U87" i="34"/>
  <c r="U88" i="34"/>
  <c r="U89" i="34"/>
  <c r="U90" i="34"/>
  <c r="U91" i="34"/>
  <c r="U92" i="34"/>
  <c r="U93" i="34"/>
  <c r="U94" i="34"/>
  <c r="U95" i="34"/>
  <c r="U96" i="34"/>
  <c r="U97" i="34"/>
  <c r="U98" i="34"/>
  <c r="U99" i="34"/>
  <c r="U100" i="34"/>
  <c r="U101" i="34"/>
  <c r="U102" i="34"/>
  <c r="U103" i="34"/>
  <c r="U104" i="34"/>
  <c r="U105" i="34"/>
  <c r="U106" i="34"/>
  <c r="U107" i="34"/>
  <c r="U108" i="34"/>
  <c r="U109" i="34"/>
  <c r="U110" i="34"/>
  <c r="U111" i="34"/>
  <c r="U112" i="34"/>
  <c r="U113" i="34"/>
  <c r="U114" i="34"/>
  <c r="U115" i="34"/>
  <c r="U116" i="34"/>
  <c r="U117" i="34"/>
  <c r="U118" i="34"/>
  <c r="U119" i="34"/>
  <c r="U120" i="34"/>
  <c r="U121" i="34"/>
  <c r="U122" i="34"/>
  <c r="U123" i="34"/>
  <c r="U124" i="34"/>
  <c r="U125" i="34"/>
  <c r="U126" i="34"/>
  <c r="U127" i="34"/>
  <c r="U128" i="34"/>
  <c r="U129" i="34"/>
  <c r="U130" i="34"/>
  <c r="U131" i="34"/>
  <c r="U132" i="34"/>
  <c r="U133" i="34"/>
  <c r="U134" i="34"/>
  <c r="U135" i="34"/>
  <c r="U136" i="34"/>
  <c r="U137" i="34"/>
  <c r="U138" i="34"/>
  <c r="U139" i="34"/>
  <c r="U140" i="34"/>
  <c r="U141" i="34"/>
  <c r="U142" i="34"/>
  <c r="U143" i="34"/>
  <c r="U144" i="34"/>
  <c r="U145" i="34"/>
  <c r="U146" i="34"/>
  <c r="U147" i="34"/>
  <c r="U148" i="34"/>
  <c r="U149" i="34"/>
  <c r="U150" i="34"/>
  <c r="U151" i="34"/>
  <c r="U152" i="34"/>
  <c r="U153" i="34"/>
  <c r="U154" i="34"/>
  <c r="U155" i="34"/>
  <c r="U156" i="34"/>
  <c r="U157" i="34"/>
  <c r="U158" i="34"/>
  <c r="U159" i="34"/>
  <c r="U160" i="34"/>
  <c r="U161" i="34"/>
  <c r="U162" i="34"/>
  <c r="U163" i="34"/>
  <c r="U164" i="34"/>
  <c r="U165" i="34"/>
  <c r="U166" i="34"/>
  <c r="U167" i="34"/>
  <c r="U168" i="34"/>
  <c r="U169" i="34"/>
  <c r="U170" i="34"/>
  <c r="U171" i="34"/>
  <c r="U172" i="34"/>
  <c r="U173" i="34"/>
  <c r="U174" i="34"/>
  <c r="U175" i="34"/>
  <c r="U176" i="34"/>
  <c r="U177" i="34"/>
  <c r="U178" i="34"/>
  <c r="U179" i="34"/>
  <c r="U180" i="34"/>
  <c r="U181" i="34"/>
  <c r="U182" i="34"/>
  <c r="U183" i="34"/>
  <c r="U184" i="34"/>
  <c r="U185" i="34"/>
  <c r="U186" i="34"/>
  <c r="U187" i="34"/>
  <c r="U188" i="34"/>
  <c r="U189" i="34"/>
  <c r="U190" i="34"/>
  <c r="U191" i="34"/>
  <c r="U192" i="34"/>
  <c r="U193" i="34"/>
  <c r="U194" i="34"/>
  <c r="U195" i="34"/>
  <c r="U196" i="34"/>
  <c r="U197" i="34"/>
  <c r="U198" i="34"/>
  <c r="U199" i="34"/>
  <c r="U200" i="34"/>
  <c r="U201" i="34"/>
  <c r="U202" i="34"/>
  <c r="U203" i="34"/>
  <c r="U204" i="34"/>
  <c r="U205" i="34"/>
  <c r="U206" i="34"/>
  <c r="U207" i="34"/>
  <c r="U208" i="34"/>
  <c r="U209" i="34"/>
  <c r="U210" i="34"/>
  <c r="U211" i="34"/>
  <c r="U212" i="34"/>
  <c r="U213" i="34"/>
  <c r="U214" i="34"/>
  <c r="U215" i="34"/>
  <c r="U216" i="34"/>
  <c r="U217" i="34"/>
  <c r="U218" i="34"/>
  <c r="U219" i="34"/>
  <c r="U220" i="34"/>
  <c r="U221" i="34"/>
  <c r="U222" i="34"/>
  <c r="U223" i="34"/>
  <c r="U224" i="34"/>
  <c r="U225" i="34"/>
  <c r="U226" i="34"/>
  <c r="U227" i="34"/>
  <c r="U228" i="34"/>
  <c r="U229" i="34"/>
  <c r="U230" i="34"/>
  <c r="U231" i="34"/>
  <c r="U232" i="34"/>
  <c r="U233" i="34"/>
  <c r="U234" i="34"/>
  <c r="U235" i="34"/>
  <c r="U236" i="34"/>
  <c r="U237" i="34"/>
  <c r="U238" i="34"/>
  <c r="U239" i="34"/>
  <c r="U240" i="34"/>
  <c r="U241" i="34"/>
  <c r="U242" i="34"/>
  <c r="U243" i="34"/>
  <c r="U244" i="34"/>
  <c r="U245" i="34"/>
  <c r="U246" i="34"/>
  <c r="U247" i="34"/>
  <c r="U248" i="34"/>
  <c r="U249" i="34"/>
  <c r="U250" i="34"/>
  <c r="U251" i="34"/>
  <c r="U252" i="34"/>
  <c r="U253" i="34"/>
  <c r="U254" i="34"/>
  <c r="U255" i="34"/>
  <c r="U256" i="34"/>
  <c r="U257" i="34"/>
  <c r="U258" i="34"/>
  <c r="U259" i="34"/>
  <c r="U260" i="34"/>
  <c r="U261" i="34"/>
  <c r="U262" i="34"/>
  <c r="U263" i="34"/>
  <c r="U264" i="34"/>
  <c r="U265" i="34"/>
  <c r="U266" i="34"/>
  <c r="U267" i="34"/>
  <c r="U268" i="34"/>
  <c r="U269" i="34"/>
  <c r="U270" i="34"/>
  <c r="U271" i="34"/>
  <c r="U272" i="34"/>
  <c r="U273" i="34"/>
  <c r="U274" i="34"/>
  <c r="U275" i="34"/>
  <c r="U276" i="34"/>
  <c r="U277" i="34"/>
  <c r="U278" i="34"/>
  <c r="U279" i="34"/>
  <c r="U280" i="34"/>
  <c r="U281" i="34"/>
  <c r="U282" i="34"/>
  <c r="U283" i="34"/>
  <c r="U284" i="34"/>
  <c r="U285" i="34"/>
  <c r="U286" i="34"/>
  <c r="U287" i="34"/>
  <c r="U288" i="34"/>
  <c r="U289" i="34"/>
  <c r="U290" i="34"/>
  <c r="U291" i="34"/>
  <c r="U292" i="34"/>
  <c r="U293" i="34"/>
  <c r="U294" i="34"/>
  <c r="U295" i="34"/>
  <c r="U296" i="34"/>
  <c r="U297" i="34"/>
  <c r="U298" i="34"/>
  <c r="U299" i="34"/>
  <c r="U300" i="34"/>
  <c r="U301" i="34"/>
  <c r="U302" i="34"/>
  <c r="U303" i="34"/>
  <c r="U304" i="34"/>
  <c r="U305" i="34"/>
  <c r="U306" i="34"/>
  <c r="U307" i="34"/>
  <c r="U308" i="34"/>
  <c r="U309" i="34"/>
  <c r="U310" i="34"/>
  <c r="U311" i="34"/>
  <c r="U312" i="34"/>
  <c r="U313" i="34"/>
  <c r="U314" i="34"/>
  <c r="U315" i="34"/>
  <c r="U316" i="34"/>
  <c r="U317" i="34"/>
  <c r="U318" i="34"/>
  <c r="U319" i="34"/>
  <c r="U320" i="34"/>
  <c r="U321" i="34"/>
  <c r="U322" i="34"/>
  <c r="U323" i="34"/>
  <c r="U324" i="34"/>
  <c r="U325" i="34"/>
  <c r="U326" i="34"/>
  <c r="U327" i="34"/>
  <c r="U328" i="34"/>
  <c r="U329" i="34"/>
  <c r="U330" i="34"/>
  <c r="U331" i="34"/>
  <c r="U332" i="34"/>
  <c r="U333" i="34"/>
  <c r="U334" i="34"/>
  <c r="U335" i="34"/>
  <c r="U336" i="34"/>
  <c r="U337" i="34"/>
  <c r="U338" i="34"/>
  <c r="U339" i="34"/>
  <c r="U340" i="34"/>
  <c r="U341" i="34"/>
  <c r="U342" i="34"/>
  <c r="U343" i="34"/>
  <c r="U344" i="34"/>
  <c r="U345" i="34"/>
  <c r="U346" i="34"/>
  <c r="U347" i="34"/>
  <c r="U348" i="34"/>
  <c r="U349" i="34"/>
  <c r="U350" i="34"/>
  <c r="U351" i="34"/>
  <c r="U352" i="34"/>
  <c r="U353" i="34"/>
  <c r="U354" i="34"/>
  <c r="U355" i="34"/>
  <c r="U356" i="34"/>
  <c r="U357" i="34"/>
  <c r="U358" i="34"/>
  <c r="U359" i="34"/>
  <c r="U360" i="34"/>
  <c r="U361" i="34"/>
  <c r="U362" i="34"/>
  <c r="U363" i="34"/>
  <c r="U364" i="34"/>
  <c r="U365" i="34"/>
  <c r="U366" i="34"/>
  <c r="U367" i="34"/>
  <c r="U368" i="34"/>
  <c r="U369" i="34"/>
  <c r="U370" i="34"/>
  <c r="U371" i="34"/>
  <c r="U372" i="34"/>
  <c r="U373" i="34"/>
  <c r="U374" i="34"/>
  <c r="U375" i="34"/>
  <c r="U376" i="34"/>
  <c r="U377" i="34"/>
  <c r="U378" i="34"/>
  <c r="U379" i="34"/>
  <c r="U380" i="34"/>
  <c r="U381" i="34"/>
  <c r="U382" i="34"/>
  <c r="U383" i="34"/>
  <c r="U384" i="34"/>
  <c r="U385" i="34"/>
  <c r="U386" i="34"/>
  <c r="U387" i="34"/>
  <c r="U388" i="34"/>
  <c r="U389" i="34"/>
  <c r="U390" i="34"/>
  <c r="U391" i="34"/>
  <c r="U392" i="34"/>
  <c r="U393" i="34"/>
  <c r="U394" i="34"/>
  <c r="U395" i="34"/>
  <c r="U396" i="34"/>
  <c r="U397" i="34"/>
  <c r="U398" i="34"/>
  <c r="U399" i="34"/>
  <c r="U400" i="34"/>
  <c r="U401" i="34"/>
  <c r="U402" i="34"/>
  <c r="U403" i="34"/>
  <c r="U404" i="34"/>
  <c r="U405" i="34"/>
  <c r="U406" i="34"/>
  <c r="U407" i="34"/>
  <c r="U408" i="34"/>
  <c r="U409" i="34"/>
  <c r="U410" i="34"/>
  <c r="U411" i="34"/>
  <c r="U412" i="34"/>
  <c r="U413" i="34"/>
  <c r="U414" i="34"/>
  <c r="U415" i="34"/>
  <c r="U416" i="34"/>
  <c r="U417" i="34"/>
  <c r="U418" i="34"/>
  <c r="U419" i="34"/>
  <c r="U420" i="34"/>
  <c r="U421" i="34"/>
  <c r="U422" i="34"/>
  <c r="U423" i="34"/>
  <c r="U424" i="34"/>
  <c r="U425" i="34"/>
  <c r="U426" i="34"/>
  <c r="U427" i="34"/>
  <c r="U428" i="34"/>
  <c r="U429" i="34"/>
  <c r="U430" i="34"/>
  <c r="U431" i="34"/>
  <c r="U432" i="34"/>
  <c r="U433" i="34"/>
  <c r="U434" i="34"/>
  <c r="U435" i="34"/>
  <c r="U436" i="34"/>
  <c r="U437" i="34"/>
  <c r="U438" i="34"/>
  <c r="U439" i="34"/>
  <c r="U440" i="34"/>
  <c r="U441" i="34"/>
  <c r="U442" i="34"/>
  <c r="U443" i="34"/>
  <c r="U444" i="34"/>
  <c r="U445" i="34"/>
  <c r="U446" i="34"/>
  <c r="U447" i="34"/>
  <c r="U448" i="34"/>
  <c r="U449" i="34"/>
  <c r="U450" i="34"/>
  <c r="U451" i="34"/>
  <c r="U452" i="34"/>
  <c r="U453" i="34"/>
  <c r="U454" i="34"/>
  <c r="U455" i="34"/>
  <c r="U456" i="34"/>
  <c r="U457" i="34"/>
  <c r="U458" i="34"/>
  <c r="U459" i="34"/>
  <c r="U460" i="34"/>
  <c r="U461" i="34"/>
  <c r="U462" i="34"/>
  <c r="U463" i="34"/>
  <c r="U464" i="34"/>
  <c r="U465" i="34"/>
  <c r="U466" i="34"/>
  <c r="U467" i="34"/>
  <c r="U468" i="34"/>
  <c r="U469" i="34"/>
  <c r="U470" i="34"/>
  <c r="U471" i="34"/>
  <c r="U472" i="34"/>
  <c r="U473" i="34"/>
  <c r="U474" i="34"/>
  <c r="U475" i="34"/>
  <c r="U476" i="34"/>
  <c r="U477" i="34"/>
  <c r="U478" i="34"/>
  <c r="U479" i="34"/>
  <c r="U480" i="34"/>
  <c r="U481" i="34"/>
  <c r="U482" i="34"/>
  <c r="U483" i="34"/>
  <c r="U484" i="34"/>
  <c r="U485" i="34"/>
  <c r="U486" i="34"/>
  <c r="U487" i="34"/>
  <c r="U488" i="34"/>
  <c r="U489" i="34"/>
  <c r="U490" i="34"/>
  <c r="U491" i="34"/>
  <c r="U492" i="34"/>
  <c r="U493" i="34"/>
  <c r="U494" i="34"/>
  <c r="U495" i="34"/>
  <c r="U496" i="34"/>
  <c r="U497" i="34"/>
  <c r="U498" i="34"/>
  <c r="U499" i="34"/>
  <c r="U500" i="34"/>
  <c r="U501" i="34"/>
  <c r="U502" i="34"/>
  <c r="U503" i="34"/>
  <c r="U504" i="34"/>
  <c r="U505" i="34"/>
  <c r="U506" i="34"/>
  <c r="U507" i="34"/>
  <c r="U508" i="34"/>
  <c r="U509" i="34"/>
  <c r="U510" i="34"/>
  <c r="U511" i="34"/>
  <c r="U512" i="34"/>
  <c r="U513" i="34"/>
  <c r="U514" i="34"/>
  <c r="U21" i="34"/>
  <c r="Q513" i="34"/>
  <c r="R513" i="34" s="1"/>
  <c r="J513" i="34"/>
  <c r="G513" i="34"/>
  <c r="E512" i="34"/>
  <c r="J510" i="34"/>
  <c r="G510" i="34"/>
  <c r="R509" i="34" s="1"/>
  <c r="J507" i="34"/>
  <c r="G507" i="34"/>
  <c r="R506" i="34"/>
  <c r="E506" i="34"/>
  <c r="E509" i="34" s="1"/>
  <c r="R504" i="34"/>
  <c r="J504" i="34"/>
  <c r="G504" i="34"/>
  <c r="R503" i="34" s="1"/>
  <c r="E503" i="34"/>
  <c r="Q501" i="34"/>
  <c r="R501" i="34" s="1"/>
  <c r="O501" i="34"/>
  <c r="J501" i="34"/>
  <c r="G501" i="34"/>
  <c r="R500" i="34" s="1"/>
  <c r="R498" i="34"/>
  <c r="Q498" i="34"/>
  <c r="J498" i="34"/>
  <c r="G498" i="34"/>
  <c r="R497" i="34" s="1"/>
  <c r="E497" i="34"/>
  <c r="O498" i="34" s="1"/>
  <c r="R495" i="34"/>
  <c r="J495" i="34"/>
  <c r="G495" i="34"/>
  <c r="Q492" i="34"/>
  <c r="R492" i="34" s="1"/>
  <c r="O492" i="34"/>
  <c r="R491" i="34"/>
  <c r="Q489" i="34"/>
  <c r="R489" i="34" s="1"/>
  <c r="O489" i="34"/>
  <c r="J489" i="34"/>
  <c r="G489" i="34"/>
  <c r="Q486" i="34"/>
  <c r="R486" i="34" s="1"/>
  <c r="O486" i="34"/>
  <c r="J486" i="34"/>
  <c r="J485" i="34"/>
  <c r="G485" i="34"/>
  <c r="G486" i="34" s="1"/>
  <c r="Q483" i="34"/>
  <c r="R483" i="34" s="1"/>
  <c r="O483" i="34"/>
  <c r="J482" i="34"/>
  <c r="J483" i="34" s="1"/>
  <c r="G482" i="34"/>
  <c r="G483" i="34" s="1"/>
  <c r="Q480" i="34"/>
  <c r="R480" i="34" s="1"/>
  <c r="O480" i="34"/>
  <c r="J479" i="34"/>
  <c r="J480" i="34" s="1"/>
  <c r="G479" i="34"/>
  <c r="G480" i="34" s="1"/>
  <c r="Q476" i="34"/>
  <c r="R476" i="34" s="1"/>
  <c r="J476" i="34"/>
  <c r="G476" i="34"/>
  <c r="R475" i="34" s="1"/>
  <c r="E475" i="34"/>
  <c r="O476" i="34" s="1"/>
  <c r="Q472" i="34"/>
  <c r="R472" i="34" s="1"/>
  <c r="J472" i="34"/>
  <c r="G472" i="34"/>
  <c r="E471" i="34"/>
  <c r="O472" i="34" s="1"/>
  <c r="Q468" i="34"/>
  <c r="R468" i="34" s="1"/>
  <c r="J468" i="34"/>
  <c r="G468" i="34"/>
  <c r="R467" i="34"/>
  <c r="E467" i="34"/>
  <c r="O468" i="34" s="1"/>
  <c r="Q464" i="34"/>
  <c r="R464" i="34" s="1"/>
  <c r="J464" i="34"/>
  <c r="G464" i="34"/>
  <c r="E463" i="34"/>
  <c r="O464" i="34" s="1"/>
  <c r="R461" i="34"/>
  <c r="J461" i="34"/>
  <c r="G461" i="34"/>
  <c r="R460" i="34"/>
  <c r="Q458" i="34"/>
  <c r="R458" i="34" s="1"/>
  <c r="J458" i="34"/>
  <c r="G458" i="34"/>
  <c r="R457" i="34" s="1"/>
  <c r="E457" i="34"/>
  <c r="N455" i="34"/>
  <c r="Q455" i="34" s="1"/>
  <c r="R455" i="34" s="1"/>
  <c r="J455" i="34"/>
  <c r="R454" i="34" s="1"/>
  <c r="G455" i="34"/>
  <c r="E454" i="34"/>
  <c r="O455" i="34" s="1"/>
  <c r="G451" i="34"/>
  <c r="G452" i="34" s="1"/>
  <c r="R451" i="34" s="1"/>
  <c r="G448" i="34"/>
  <c r="G449" i="34" s="1"/>
  <c r="R448" i="34" s="1"/>
  <c r="E448" i="34"/>
  <c r="A448" i="34"/>
  <c r="A451" i="34" s="1"/>
  <c r="A454" i="34" s="1"/>
  <c r="A457" i="34" s="1"/>
  <c r="A460" i="34" s="1"/>
  <c r="A463" i="34" s="1"/>
  <c r="A467" i="34" s="1"/>
  <c r="A471" i="34" s="1"/>
  <c r="G445" i="34"/>
  <c r="G446" i="34" s="1"/>
  <c r="R445" i="34" s="1"/>
  <c r="E445" i="34"/>
  <c r="E451" i="34" s="1"/>
  <c r="J440" i="34"/>
  <c r="G440" i="34"/>
  <c r="E439" i="34"/>
  <c r="J435" i="34"/>
  <c r="G435" i="34"/>
  <c r="R434" i="34"/>
  <c r="E434" i="34"/>
  <c r="O435" i="34" s="1"/>
  <c r="J430" i="34"/>
  <c r="G430" i="34"/>
  <c r="E429" i="34"/>
  <c r="O425" i="34"/>
  <c r="J425" i="34"/>
  <c r="G425" i="34"/>
  <c r="O420" i="34"/>
  <c r="J420" i="34"/>
  <c r="G420" i="34"/>
  <c r="O416" i="34"/>
  <c r="J416" i="34"/>
  <c r="G416" i="34"/>
  <c r="R415" i="34" s="1"/>
  <c r="O412" i="34"/>
  <c r="J412" i="34"/>
  <c r="G412" i="34"/>
  <c r="R411" i="34" s="1"/>
  <c r="O407" i="34"/>
  <c r="J407" i="34"/>
  <c r="G407" i="34"/>
  <c r="O402" i="34"/>
  <c r="J402" i="34"/>
  <c r="G402" i="34"/>
  <c r="O397" i="34"/>
  <c r="J397" i="34"/>
  <c r="G397" i="34"/>
  <c r="R396" i="34" s="1"/>
  <c r="O394" i="34"/>
  <c r="J394" i="34"/>
  <c r="G394" i="34"/>
  <c r="J392" i="34"/>
  <c r="G392" i="34"/>
  <c r="J386" i="34"/>
  <c r="G386" i="34"/>
  <c r="R385" i="34" s="1"/>
  <c r="E385" i="34"/>
  <c r="E391" i="34" s="1"/>
  <c r="J382" i="34"/>
  <c r="G382" i="34"/>
  <c r="E381" i="34"/>
  <c r="O376" i="34"/>
  <c r="J376" i="34"/>
  <c r="G376" i="34"/>
  <c r="A375" i="34"/>
  <c r="A381" i="34" s="1"/>
  <c r="A385" i="34" s="1"/>
  <c r="A391" i="34" s="1"/>
  <c r="A393" i="34" s="1"/>
  <c r="A396" i="34" s="1"/>
  <c r="A401" i="34" s="1"/>
  <c r="A406" i="34" s="1"/>
  <c r="A411" i="34" s="1"/>
  <c r="A415" i="34" s="1"/>
  <c r="A419" i="34" s="1"/>
  <c r="A424" i="34" s="1"/>
  <c r="A429" i="34" s="1"/>
  <c r="A434" i="34" s="1"/>
  <c r="A439" i="34" s="1"/>
  <c r="J373" i="34"/>
  <c r="R372" i="34" s="1"/>
  <c r="G373" i="34"/>
  <c r="E372" i="34"/>
  <c r="N363" i="34"/>
  <c r="J363" i="34"/>
  <c r="G363" i="34"/>
  <c r="E362" i="34"/>
  <c r="J357" i="34"/>
  <c r="G357" i="34"/>
  <c r="E356" i="34"/>
  <c r="O358" i="34" s="1"/>
  <c r="N353" i="34"/>
  <c r="J352" i="34"/>
  <c r="G352" i="34"/>
  <c r="E351" i="34"/>
  <c r="O353" i="34" s="1"/>
  <c r="J349" i="34"/>
  <c r="G349" i="34"/>
  <c r="E348" i="34"/>
  <c r="O349" i="34" s="1"/>
  <c r="J346" i="34"/>
  <c r="G346" i="34"/>
  <c r="E345" i="34"/>
  <c r="O346" i="34" s="1"/>
  <c r="N342" i="34"/>
  <c r="J339" i="34"/>
  <c r="G339" i="34"/>
  <c r="E338" i="34"/>
  <c r="O343" i="34" s="1"/>
  <c r="J336" i="34"/>
  <c r="G336" i="34"/>
  <c r="E335" i="34"/>
  <c r="J333" i="34"/>
  <c r="G333" i="34"/>
  <c r="E332" i="34"/>
  <c r="J327" i="34"/>
  <c r="G327" i="34"/>
  <c r="R326" i="34" s="1"/>
  <c r="E326" i="34"/>
  <c r="O329" i="34" s="1"/>
  <c r="N324" i="34"/>
  <c r="J324" i="34"/>
  <c r="G324" i="34"/>
  <c r="R323" i="34" s="1"/>
  <c r="E323" i="34"/>
  <c r="O324" i="34" s="1"/>
  <c r="A323" i="34"/>
  <c r="A326" i="34" s="1"/>
  <c r="A332" i="34" s="1"/>
  <c r="A335" i="34" s="1"/>
  <c r="A338" i="34" s="1"/>
  <c r="A345" i="34" s="1"/>
  <c r="A348" i="34" s="1"/>
  <c r="A351" i="34" s="1"/>
  <c r="A356" i="34" s="1"/>
  <c r="A362" i="34" s="1"/>
  <c r="J321" i="34"/>
  <c r="G321" i="34"/>
  <c r="R320" i="34" s="1"/>
  <c r="E320" i="34"/>
  <c r="J312" i="34"/>
  <c r="G312" i="34"/>
  <c r="E311" i="34"/>
  <c r="J307" i="34"/>
  <c r="G307" i="34"/>
  <c r="E306" i="34"/>
  <c r="O307" i="34" s="1"/>
  <c r="J302" i="34"/>
  <c r="G302" i="34"/>
  <c r="E301" i="34"/>
  <c r="O304" i="34" s="1"/>
  <c r="J298" i="34"/>
  <c r="G298" i="34"/>
  <c r="R297" i="34" s="1"/>
  <c r="E297" i="34"/>
  <c r="O298" i="34" s="1"/>
  <c r="J294" i="34"/>
  <c r="G294" i="34"/>
  <c r="E293" i="34"/>
  <c r="J290" i="34"/>
  <c r="G290" i="34"/>
  <c r="E289" i="34"/>
  <c r="O290" i="34" s="1"/>
  <c r="J286" i="34"/>
  <c r="G286" i="34"/>
  <c r="E285" i="34"/>
  <c r="J282" i="34"/>
  <c r="G282" i="34"/>
  <c r="R281" i="34" s="1"/>
  <c r="E281" i="34"/>
  <c r="O282" i="34" s="1"/>
  <c r="J278" i="34"/>
  <c r="G278" i="34"/>
  <c r="E277" i="34"/>
  <c r="J272" i="34"/>
  <c r="G272" i="34"/>
  <c r="E271" i="34"/>
  <c r="O275" i="34" s="1"/>
  <c r="N269" i="34"/>
  <c r="J269" i="34"/>
  <c r="G269" i="34"/>
  <c r="E268" i="34"/>
  <c r="A268" i="34"/>
  <c r="A271" i="34" s="1"/>
  <c r="A277" i="34" s="1"/>
  <c r="A281" i="34" s="1"/>
  <c r="A285" i="34" s="1"/>
  <c r="A289" i="34" s="1"/>
  <c r="A293" i="34" s="1"/>
  <c r="A297" i="34" s="1"/>
  <c r="A301" i="34" s="1"/>
  <c r="A306" i="34" s="1"/>
  <c r="A311" i="34" s="1"/>
  <c r="J265" i="34"/>
  <c r="G265" i="34"/>
  <c r="E264" i="34"/>
  <c r="J258" i="34"/>
  <c r="R257" i="34" s="1"/>
  <c r="G258" i="34"/>
  <c r="E257" i="34"/>
  <c r="O258" i="34" s="1"/>
  <c r="J254" i="34"/>
  <c r="G254" i="34"/>
  <c r="E253" i="34"/>
  <c r="R249" i="34"/>
  <c r="E249" i="34"/>
  <c r="J246" i="34"/>
  <c r="G246" i="34"/>
  <c r="E245" i="34"/>
  <c r="O246" i="34" s="1"/>
  <c r="J242" i="34"/>
  <c r="G242" i="34"/>
  <c r="E241" i="34"/>
  <c r="J238" i="34"/>
  <c r="G238" i="34"/>
  <c r="E237" i="34"/>
  <c r="J232" i="34"/>
  <c r="G232" i="34"/>
  <c r="E231" i="34"/>
  <c r="O234" i="34" s="1"/>
  <c r="N229" i="34"/>
  <c r="J229" i="34"/>
  <c r="G229" i="34"/>
  <c r="E228" i="34"/>
  <c r="A228" i="34"/>
  <c r="A231" i="34" s="1"/>
  <c r="A237" i="34" s="1"/>
  <c r="A241" i="34" s="1"/>
  <c r="A245" i="34" s="1"/>
  <c r="A249" i="34" s="1"/>
  <c r="A253" i="34" s="1"/>
  <c r="A257" i="34" s="1"/>
  <c r="J225" i="34"/>
  <c r="G225" i="34"/>
  <c r="E224" i="34"/>
  <c r="J218" i="34"/>
  <c r="G218" i="34"/>
  <c r="E217" i="34"/>
  <c r="O218" i="34" s="1"/>
  <c r="J214" i="34"/>
  <c r="G214" i="34"/>
  <c r="E213" i="34"/>
  <c r="O214" i="34" s="1"/>
  <c r="J210" i="34"/>
  <c r="G210" i="34"/>
  <c r="E209" i="34"/>
  <c r="O210" i="34" s="1"/>
  <c r="J206" i="34"/>
  <c r="G206" i="34"/>
  <c r="E205" i="34"/>
  <c r="O206" i="34" s="1"/>
  <c r="J202" i="34"/>
  <c r="G202" i="34"/>
  <c r="E201" i="34"/>
  <c r="O202" i="34" s="1"/>
  <c r="J198" i="34"/>
  <c r="G198" i="34"/>
  <c r="R197" i="34" s="1"/>
  <c r="E197" i="34"/>
  <c r="O198" i="34" s="1"/>
  <c r="A197" i="34"/>
  <c r="A201" i="34" s="1"/>
  <c r="A209" i="34" s="1"/>
  <c r="A205" i="34" s="1"/>
  <c r="A217" i="34" s="1"/>
  <c r="A213" i="34" s="1"/>
  <c r="R194" i="34"/>
  <c r="J194" i="34"/>
  <c r="G194" i="34"/>
  <c r="E193" i="34"/>
  <c r="J188" i="34"/>
  <c r="G188" i="34"/>
  <c r="J184" i="34"/>
  <c r="G184" i="34"/>
  <c r="E183" i="34"/>
  <c r="O184" i="34" s="1"/>
  <c r="J180" i="34"/>
  <c r="G180" i="34"/>
  <c r="E179" i="34"/>
  <c r="J176" i="34"/>
  <c r="G176" i="34"/>
  <c r="E175" i="34"/>
  <c r="O176" i="34" s="1"/>
  <c r="J172" i="34"/>
  <c r="G172" i="34"/>
  <c r="E171" i="34"/>
  <c r="A171" i="34"/>
  <c r="A175" i="34" s="1"/>
  <c r="A179" i="34" s="1"/>
  <c r="A183" i="34" s="1"/>
  <c r="A187" i="34" s="1"/>
  <c r="R168" i="34"/>
  <c r="J168" i="34"/>
  <c r="G168" i="34"/>
  <c r="E167" i="34"/>
  <c r="N163" i="34"/>
  <c r="J162" i="34"/>
  <c r="G162" i="34"/>
  <c r="E161" i="34"/>
  <c r="J158" i="34"/>
  <c r="R157" i="34" s="1"/>
  <c r="G158" i="34"/>
  <c r="E157" i="34"/>
  <c r="O159" i="34" s="1"/>
  <c r="A157" i="34"/>
  <c r="A161" i="34" s="1"/>
  <c r="J154" i="34"/>
  <c r="R153" i="34" s="1"/>
  <c r="G154" i="34"/>
  <c r="E153" i="34"/>
  <c r="O155" i="34" s="1"/>
  <c r="J147" i="34"/>
  <c r="G147" i="34"/>
  <c r="E146" i="34"/>
  <c r="J144" i="34"/>
  <c r="R143" i="34" s="1"/>
  <c r="G144" i="34"/>
  <c r="O140" i="34"/>
  <c r="O139" i="34"/>
  <c r="J139" i="34"/>
  <c r="G138" i="34"/>
  <c r="G139" i="34" s="1"/>
  <c r="O136" i="34"/>
  <c r="N135" i="34"/>
  <c r="O135" i="34" s="1"/>
  <c r="O134" i="34"/>
  <c r="O133" i="34"/>
  <c r="J132" i="34"/>
  <c r="G132" i="34"/>
  <c r="O129" i="34"/>
  <c r="O128" i="34"/>
  <c r="O127" i="34"/>
  <c r="J126" i="34"/>
  <c r="G126" i="34"/>
  <c r="O123" i="34"/>
  <c r="N123" i="34"/>
  <c r="J123" i="34"/>
  <c r="G123" i="34"/>
  <c r="A122" i="34"/>
  <c r="A125" i="34" s="1"/>
  <c r="A131" i="34" s="1"/>
  <c r="A138" i="34" s="1"/>
  <c r="A143" i="34" s="1"/>
  <c r="A146" i="34" s="1"/>
  <c r="J120" i="34"/>
  <c r="G120" i="34"/>
  <c r="E119" i="34"/>
  <c r="J113" i="34"/>
  <c r="G113" i="34"/>
  <c r="E112" i="34"/>
  <c r="J110" i="34"/>
  <c r="G110" i="34"/>
  <c r="E109" i="34"/>
  <c r="O106" i="34"/>
  <c r="O105" i="34"/>
  <c r="J105" i="34"/>
  <c r="G104" i="34"/>
  <c r="G105" i="34" s="1"/>
  <c r="O102" i="34"/>
  <c r="N101" i="34"/>
  <c r="O100" i="34"/>
  <c r="O99" i="34"/>
  <c r="J98" i="34"/>
  <c r="G98" i="34"/>
  <c r="O95" i="34"/>
  <c r="O94" i="34"/>
  <c r="O93" i="34"/>
  <c r="J92" i="34"/>
  <c r="G92" i="34"/>
  <c r="N89" i="34"/>
  <c r="O89" i="34" s="1"/>
  <c r="J89" i="34"/>
  <c r="G89" i="34"/>
  <c r="A88" i="34"/>
  <c r="A91" i="34" s="1"/>
  <c r="A97" i="34" s="1"/>
  <c r="A104" i="34" s="1"/>
  <c r="A109" i="34" s="1"/>
  <c r="A112" i="34" s="1"/>
  <c r="J86" i="34"/>
  <c r="G86" i="34"/>
  <c r="E85" i="34"/>
  <c r="O79" i="34"/>
  <c r="J79" i="34"/>
  <c r="G78" i="34"/>
  <c r="G79" i="34" s="1"/>
  <c r="J76" i="34"/>
  <c r="G76" i="34"/>
  <c r="E75" i="34"/>
  <c r="O76" i="34" s="1"/>
  <c r="J73" i="34"/>
  <c r="G72" i="34"/>
  <c r="G73" i="34" s="1"/>
  <c r="E72" i="34"/>
  <c r="J69" i="34"/>
  <c r="G69" i="34"/>
  <c r="E68" i="34"/>
  <c r="J65" i="34"/>
  <c r="G65" i="34"/>
  <c r="E64" i="34"/>
  <c r="J61" i="34"/>
  <c r="G61" i="34"/>
  <c r="E60" i="34"/>
  <c r="O58" i="34"/>
  <c r="J58" i="34"/>
  <c r="G58" i="34"/>
  <c r="N55" i="34"/>
  <c r="O55" i="34" s="1"/>
  <c r="J54" i="34"/>
  <c r="J55" i="34" s="1"/>
  <c r="G54" i="34"/>
  <c r="G55" i="34" s="1"/>
  <c r="O52" i="34"/>
  <c r="R51" i="34"/>
  <c r="N49" i="34"/>
  <c r="O49" i="34" s="1"/>
  <c r="J49" i="34"/>
  <c r="G49" i="34"/>
  <c r="J44" i="34"/>
  <c r="G44" i="34"/>
  <c r="E43" i="34"/>
  <c r="O46" i="34" s="1"/>
  <c r="J39" i="34"/>
  <c r="G39" i="34"/>
  <c r="E38" i="34"/>
  <c r="O40" i="34" s="1"/>
  <c r="A38" i="34"/>
  <c r="A43" i="34" s="1"/>
  <c r="A48" i="34" s="1"/>
  <c r="A51" i="34" s="1"/>
  <c r="A54" i="34" s="1"/>
  <c r="A57" i="34" s="1"/>
  <c r="A60" i="34" s="1"/>
  <c r="A64" i="34" s="1"/>
  <c r="A68" i="34" s="1"/>
  <c r="A72" i="34" s="1"/>
  <c r="A75" i="34" s="1"/>
  <c r="A78" i="34" s="1"/>
  <c r="J33" i="34"/>
  <c r="G33" i="34"/>
  <c r="G30" i="34"/>
  <c r="J29" i="34"/>
  <c r="J30" i="34" s="1"/>
  <c r="E29" i="34"/>
  <c r="E32" i="34" s="1"/>
  <c r="R26" i="34"/>
  <c r="J25" i="34"/>
  <c r="J26" i="34" s="1"/>
  <c r="G25" i="34"/>
  <c r="G26" i="34" s="1"/>
  <c r="A25" i="34"/>
  <c r="A29" i="34" s="1"/>
  <c r="A32" i="34" s="1"/>
  <c r="R22" i="34"/>
  <c r="J21" i="34"/>
  <c r="J22" i="34" s="1"/>
  <c r="G21" i="34"/>
  <c r="G22" i="34" s="1"/>
  <c r="N11" i="34"/>
  <c r="Q342" i="34" s="1"/>
  <c r="R345" i="34" l="1"/>
  <c r="R463" i="34"/>
  <c r="R391" i="34"/>
  <c r="R401" i="34"/>
  <c r="R471" i="34"/>
  <c r="R488" i="34"/>
  <c r="R494" i="34"/>
  <c r="R72" i="34"/>
  <c r="Q101" i="34"/>
  <c r="R205" i="34"/>
  <c r="R217" i="34"/>
  <c r="R268" i="34"/>
  <c r="R245" i="34"/>
  <c r="R332" i="34"/>
  <c r="O341" i="34"/>
  <c r="R356" i="34"/>
  <c r="R64" i="34"/>
  <c r="R119" i="34"/>
  <c r="Q135" i="34"/>
  <c r="R167" i="34"/>
  <c r="R187" i="34"/>
  <c r="R224" i="34"/>
  <c r="R228" i="34"/>
  <c r="R231" i="34"/>
  <c r="R264" i="34"/>
  <c r="R271" i="34"/>
  <c r="R289" i="34"/>
  <c r="R306" i="34"/>
  <c r="R335" i="34"/>
  <c r="R362" i="34"/>
  <c r="R381" i="34"/>
  <c r="R393" i="34"/>
  <c r="Q397" i="34"/>
  <c r="R397" i="34" s="1"/>
  <c r="R419" i="34"/>
  <c r="R424" i="34"/>
  <c r="R512" i="34"/>
  <c r="Q123" i="34"/>
  <c r="R123" i="34" s="1"/>
  <c r="R213" i="34"/>
  <c r="R348" i="34"/>
  <c r="R32" i="34"/>
  <c r="R38" i="34"/>
  <c r="R43" i="34"/>
  <c r="O101" i="34"/>
  <c r="R146" i="34"/>
  <c r="O163" i="34"/>
  <c r="R183" i="34"/>
  <c r="O269" i="34"/>
  <c r="R277" i="34"/>
  <c r="R293" i="34"/>
  <c r="R311" i="34"/>
  <c r="R338" i="34"/>
  <c r="R375" i="34"/>
  <c r="Q394" i="34"/>
  <c r="R394" i="34" s="1"/>
  <c r="R406" i="34"/>
  <c r="Q420" i="34"/>
  <c r="R420" i="34" s="1"/>
  <c r="Q425" i="34"/>
  <c r="R425" i="34" s="1"/>
  <c r="Q430" i="34"/>
  <c r="R430" i="34" s="1"/>
  <c r="O458" i="34"/>
  <c r="R485" i="34"/>
  <c r="Q376" i="34"/>
  <c r="R376" i="34" s="1"/>
  <c r="Q416" i="34"/>
  <c r="R416" i="34" s="1"/>
  <c r="Q435" i="34"/>
  <c r="R435" i="34" s="1"/>
  <c r="R482" i="34"/>
  <c r="R351" i="34"/>
  <c r="Q402" i="34"/>
  <c r="R402" i="34" s="1"/>
  <c r="Q407" i="34"/>
  <c r="R407" i="34" s="1"/>
  <c r="Q412" i="34"/>
  <c r="R412" i="34" s="1"/>
  <c r="R429" i="34"/>
  <c r="R125" i="34"/>
  <c r="R193" i="34"/>
  <c r="R237" i="34"/>
  <c r="R21" i="34"/>
  <c r="R57" i="34"/>
  <c r="R60" i="34"/>
  <c r="R68" i="34"/>
  <c r="R78" i="34"/>
  <c r="R85" i="34"/>
  <c r="R97" i="34"/>
  <c r="R209" i="34"/>
  <c r="R241" i="34"/>
  <c r="R253" i="34"/>
  <c r="R285" i="34"/>
  <c r="R301" i="34"/>
  <c r="R439" i="34"/>
  <c r="R122" i="34"/>
  <c r="R48" i="34"/>
  <c r="R112" i="34"/>
  <c r="R131" i="34"/>
  <c r="R161" i="34"/>
  <c r="R175" i="34"/>
  <c r="R201" i="34"/>
  <c r="R109" i="34"/>
  <c r="A479" i="34"/>
  <c r="A482" i="34" s="1"/>
  <c r="A485" i="34" s="1"/>
  <c r="A497" i="34" s="1"/>
  <c r="A500" i="34" s="1"/>
  <c r="R479" i="34"/>
  <c r="O513" i="34"/>
  <c r="O430" i="34"/>
  <c r="Q41" i="34"/>
  <c r="Q89" i="34"/>
  <c r="R89" i="34" s="1"/>
  <c r="R138" i="34"/>
  <c r="Q163" i="34"/>
  <c r="R162" i="34" s="1"/>
  <c r="Q39" i="34"/>
  <c r="Q45" i="34"/>
  <c r="Q73" i="34"/>
  <c r="R73" i="34" s="1"/>
  <c r="R75" i="34"/>
  <c r="Q105" i="34"/>
  <c r="Q139" i="34"/>
  <c r="Q155" i="34"/>
  <c r="Q159" i="34"/>
  <c r="R171" i="34"/>
  <c r="R179" i="34"/>
  <c r="O229" i="34"/>
  <c r="Q324" i="34"/>
  <c r="R324" i="34" s="1"/>
  <c r="O342" i="34"/>
  <c r="O340" i="34"/>
  <c r="Q353" i="34"/>
  <c r="O363" i="34"/>
  <c r="O44" i="34"/>
  <c r="R54" i="34"/>
  <c r="Q94" i="34"/>
  <c r="Q58" i="34"/>
  <c r="R58" i="34" s="1"/>
  <c r="Q79" i="34"/>
  <c r="R79" i="34" s="1"/>
  <c r="R88" i="34"/>
  <c r="Q128" i="34"/>
  <c r="O45" i="34"/>
  <c r="R91" i="34"/>
  <c r="Q99" i="34"/>
  <c r="Q133" i="34"/>
  <c r="Q154" i="34"/>
  <c r="Q158" i="34"/>
  <c r="O274" i="34"/>
  <c r="Q49" i="34"/>
  <c r="R49" i="34" s="1"/>
  <c r="O154" i="34"/>
  <c r="O158" i="34"/>
  <c r="R104" i="34"/>
  <c r="R29" i="34"/>
  <c r="R25" i="34"/>
  <c r="O41" i="34"/>
  <c r="O39" i="34"/>
  <c r="Q40" i="34"/>
  <c r="Q46" i="34"/>
  <c r="Q52" i="34"/>
  <c r="R52" i="34" s="1"/>
  <c r="Q55" i="34"/>
  <c r="R55" i="34" s="1"/>
  <c r="O73" i="34"/>
  <c r="Q93" i="34"/>
  <c r="Q95" i="34"/>
  <c r="Q102" i="34"/>
  <c r="Q106" i="34"/>
  <c r="Q127" i="34"/>
  <c r="Q129" i="34"/>
  <c r="Q136" i="34"/>
  <c r="Q140" i="34"/>
  <c r="R139" i="34" s="1"/>
  <c r="O172" i="34"/>
  <c r="O180" i="34"/>
  <c r="Q202" i="34"/>
  <c r="R202" i="34" s="1"/>
  <c r="Q210" i="34"/>
  <c r="R210" i="34" s="1"/>
  <c r="Q218" i="34"/>
  <c r="R218" i="34" s="1"/>
  <c r="O233" i="34"/>
  <c r="O235" i="34"/>
  <c r="O242" i="34"/>
  <c r="O254" i="34"/>
  <c r="Q273" i="34"/>
  <c r="Q275" i="34"/>
  <c r="O278" i="34"/>
  <c r="O286" i="34"/>
  <c r="O294" i="34"/>
  <c r="O302" i="34"/>
  <c r="Q303" i="34"/>
  <c r="O312" i="34"/>
  <c r="O327" i="34"/>
  <c r="Q328" i="34"/>
  <c r="Q330" i="34"/>
  <c r="Q340" i="34"/>
  <c r="Q346" i="34"/>
  <c r="R346" i="34" s="1"/>
  <c r="Q352" i="34"/>
  <c r="Q363" i="34"/>
  <c r="R363" i="34" s="1"/>
  <c r="Q44" i="34"/>
  <c r="Q76" i="34"/>
  <c r="R76" i="34" s="1"/>
  <c r="Q100" i="34"/>
  <c r="R98" i="34" s="1"/>
  <c r="Q134" i="34"/>
  <c r="Q176" i="34"/>
  <c r="R176" i="34" s="1"/>
  <c r="Q184" i="34"/>
  <c r="R184" i="34" s="1"/>
  <c r="Q234" i="34"/>
  <c r="Q246" i="34"/>
  <c r="R246" i="34" s="1"/>
  <c r="Q250" i="34"/>
  <c r="R250" i="34" s="1"/>
  <c r="Q258" i="34"/>
  <c r="R258" i="34" s="1"/>
  <c r="O273" i="34"/>
  <c r="Q282" i="34"/>
  <c r="R282" i="34" s="1"/>
  <c r="Q290" i="34"/>
  <c r="R290" i="34" s="1"/>
  <c r="Q298" i="34"/>
  <c r="R298" i="34" s="1"/>
  <c r="O303" i="34"/>
  <c r="Q307" i="34"/>
  <c r="R307" i="34" s="1"/>
  <c r="O328" i="34"/>
  <c r="O330" i="34"/>
  <c r="Q343" i="34"/>
  <c r="O352" i="34"/>
  <c r="E187" i="34"/>
  <c r="Q198" i="34"/>
  <c r="R198" i="34" s="1"/>
  <c r="Q206" i="34"/>
  <c r="R206" i="34" s="1"/>
  <c r="Q214" i="34"/>
  <c r="R214" i="34" s="1"/>
  <c r="Q229" i="34"/>
  <c r="R229" i="34" s="1"/>
  <c r="O250" i="34"/>
  <c r="Q274" i="34"/>
  <c r="Q304" i="34"/>
  <c r="Q329" i="34"/>
  <c r="Q341" i="34"/>
  <c r="Q349" i="34"/>
  <c r="R349" i="34" s="1"/>
  <c r="Q358" i="34"/>
  <c r="R357" i="34" s="1"/>
  <c r="Q172" i="34"/>
  <c r="R172" i="34" s="1"/>
  <c r="Q180" i="34"/>
  <c r="R180" i="34" s="1"/>
  <c r="Q188" i="34"/>
  <c r="R188" i="34" s="1"/>
  <c r="Q233" i="34"/>
  <c r="Q235" i="34"/>
  <c r="Q242" i="34"/>
  <c r="R242" i="34" s="1"/>
  <c r="Q254" i="34"/>
  <c r="R254" i="34" s="1"/>
  <c r="Q269" i="34"/>
  <c r="R269" i="34" s="1"/>
  <c r="Q278" i="34"/>
  <c r="R278" i="34" s="1"/>
  <c r="Q286" i="34"/>
  <c r="R286" i="34" s="1"/>
  <c r="Q294" i="34"/>
  <c r="R294" i="34" s="1"/>
  <c r="Q302" i="34"/>
  <c r="R302" i="34" s="1"/>
  <c r="Q312" i="34"/>
  <c r="R312" i="34" s="1"/>
  <c r="Q327" i="34"/>
  <c r="R132" i="34" l="1"/>
  <c r="R105" i="34"/>
  <c r="R39" i="34"/>
  <c r="R352" i="34"/>
  <c r="R154" i="34"/>
  <c r="R126" i="34"/>
  <c r="R92" i="34"/>
  <c r="R327" i="34"/>
  <c r="R158" i="34"/>
  <c r="A512" i="34"/>
  <c r="A491" i="34" s="1"/>
  <c r="A503" i="34" s="1"/>
  <c r="A506" i="34" s="1"/>
  <c r="A509" i="34" s="1"/>
  <c r="A494" i="34"/>
  <c r="A488" i="34"/>
  <c r="O188" i="34"/>
  <c r="R232" i="34"/>
  <c r="R44" i="34"/>
  <c r="R339" i="34"/>
  <c r="R272" i="34"/>
  <c r="T442" i="34" l="1"/>
  <c r="T149" i="34"/>
  <c r="T36" i="34"/>
  <c r="T115" i="34"/>
  <c r="T165" i="34"/>
  <c r="T262" i="34"/>
  <c r="T81" i="34"/>
  <c r="T316" i="34"/>
  <c r="T367" i="34" l="1"/>
  <c r="T369" i="34" s="1"/>
  <c r="P9" i="34"/>
  <c r="T515" i="34" l="1"/>
  <c r="T518" i="34" s="1"/>
  <c r="T519" i="34" s="1"/>
</calcChain>
</file>

<file path=xl/sharedStrings.xml><?xml version="1.0" encoding="utf-8"?>
<sst xmlns="http://schemas.openxmlformats.org/spreadsheetml/2006/main" count="677" uniqueCount="295">
  <si>
    <t>Ý³Ë³Ñ³ßíÇ ³Ýí³ÝáõÙÁ</t>
  </si>
  <si>
    <t>ÐÇÙù</t>
  </si>
  <si>
    <t>ØÇçÇÝ ³ßË³ï³í³ñÓÁ</t>
  </si>
  <si>
    <t>¹ñ³Ù</t>
  </si>
  <si>
    <t>Ü³Ë³Ñ³ßí³ÛÇÝ ³ñÅ»ùÁ</t>
  </si>
  <si>
    <t>ÞÇýñ, ÝáñÙ³-ïÇíÇ Ñ³Ù³ñÁ</t>
  </si>
  <si>
    <t>²ßË³ï³ÝùÝ»ñÇ, Í³Ëë»ñÇ ³Ýí³ÝáõÙÁ ¨ ã³÷Ù³Ý ÙÇ³íáñÁ</t>
  </si>
  <si>
    <t>Ñ³½. ¹ñ³Ù</t>
  </si>
  <si>
    <t>â³÷Ù³Ý ÙÇ³íáñÁ</t>
  </si>
  <si>
    <t>ø³Ý³ÏÁ</t>
  </si>
  <si>
    <t>ÜÛáõÃ»ñÇ ³Ýí³ÝáõÙÁ</t>
  </si>
  <si>
    <t>ÜÛáõÃ»ñÇ ³ñÅ»ùÁ (Ñ³½³ñ ¹ñ³Ù)</t>
  </si>
  <si>
    <t>ÀÝ¹Ñ³ÝáõñÇ ³ñÅ»ùÁ ÙÇ³íáñÇ Ñ³Ù³ñ Ñ³½³ñ ¹ñ³Ù</t>
  </si>
  <si>
    <t>ÀÝ¹Ñ³ÝáõñÇ ³ñÅ»ùÁ Ñ³½³ñ ¹ñ³Ù</t>
  </si>
  <si>
    <t>ÜÛáõÃ»ñÇ ÁÝ¹Ñ³Ýáõñ Í³ËëÁ</t>
  </si>
  <si>
    <t>ØÇ³íáñÇ ³ñÅ»ùÁ Ñ³½³ñ ¹ñ³Ù</t>
  </si>
  <si>
    <t xml:space="preserve">Ð/Ð
</t>
  </si>
  <si>
    <t>²ßË³ï³í³ñÓÇ ÙÇ³íáñÁ éáõµ./Ñ³½³ñ ¹ñ³Ù</t>
  </si>
  <si>
    <t>²ßË³ï³í³ñÓÇ ÙÇ³íáñÇ ³ñÅ»ùÁ Ñ³½³ñ ¹ñ³Ù</t>
  </si>
  <si>
    <t>Ø»ù»Ý. ß³Ñ³·áñÍÙ³Ý ÙÇ³íáñÁ 
éáõµ./Ñ³½³ñ ¹ñ³Ù</t>
  </si>
  <si>
    <t>ø³Ý³ÏÁ  ÙÇ³íáñÇ Ñ³Ù³ñ</t>
  </si>
  <si>
    <t xml:space="preserve">Անցումային գործակիցները: </t>
  </si>
  <si>
    <t>աշխատավարձի -</t>
  </si>
  <si>
    <t>մեքենաների շահագործման -</t>
  </si>
  <si>
    <t>100մ</t>
  </si>
  <si>
    <t>Ընդամենը</t>
  </si>
  <si>
    <t>մ</t>
  </si>
  <si>
    <t>հատ</t>
  </si>
  <si>
    <t>Ընդամենը նախահաշվով</t>
  </si>
  <si>
    <t>ÞÇÝ³ñ³ñ³Ï³Ý ³ßË³ï³ÝùÝ»ñ</t>
  </si>
  <si>
    <t>î»Õ³ÛÇÝ Ý³Ë³Ñ³ßÇí ÃÇí</t>
  </si>
  <si>
    <t>100մ3</t>
  </si>
  <si>
    <t>C310-15</t>
  </si>
  <si>
    <t>տ</t>
  </si>
  <si>
    <t>E11-6</t>
  </si>
  <si>
    <t>մ3</t>
  </si>
  <si>
    <t>կողապատում</t>
  </si>
  <si>
    <t>մ2</t>
  </si>
  <si>
    <t>տախտակներ</t>
  </si>
  <si>
    <t>կգ</t>
  </si>
  <si>
    <t>ցեմենտային շաղախ</t>
  </si>
  <si>
    <t>1-11</t>
  </si>
  <si>
    <t>100մ2</t>
  </si>
  <si>
    <t>յուղաներկ</t>
  </si>
  <si>
    <t>շուկա</t>
  </si>
  <si>
    <t>նախագիծ</t>
  </si>
  <si>
    <t>E27-86-1</t>
  </si>
  <si>
    <t>բետոն B15</t>
  </si>
  <si>
    <t>խիճ 20-40մմ</t>
  </si>
  <si>
    <t>Е9-123</t>
  </si>
  <si>
    <t>էլեկտրոդ</t>
  </si>
  <si>
    <t>E1-961</t>
  </si>
  <si>
    <t>80-3</t>
  </si>
  <si>
    <t>E6-3-2</t>
  </si>
  <si>
    <t>11-6</t>
  </si>
  <si>
    <t>E15-614</t>
  </si>
  <si>
    <t>164-8</t>
  </si>
  <si>
    <t>պողպատե թիթեղ</t>
  </si>
  <si>
    <t>նստարանի մետաղական մասերի տեղադրում</t>
  </si>
  <si>
    <t>Ցանկապատի մետաղական մասերի տեղադրում</t>
  </si>
  <si>
    <t>Е9-234</t>
  </si>
  <si>
    <t>40x40x2մմ պողպատե խողովակների արժեքը</t>
  </si>
  <si>
    <t>40x40x2մմ պողպատե խողովակներ</t>
  </si>
  <si>
    <t>Մետաղական  մասերի յուղաներկում երկու անգամ</t>
  </si>
  <si>
    <t>բետոնե հիմքերի իրականացում B20 դասի բետոնից</t>
  </si>
  <si>
    <t>ծանր բետոն B20</t>
  </si>
  <si>
    <t>Մետաղական կոնստրուկցիաների յուղաներկում երկու անգամ</t>
  </si>
  <si>
    <t xml:space="preserve">մետաղական թիթեղ </t>
  </si>
  <si>
    <t>2-1</t>
  </si>
  <si>
    <t xml:space="preserve">Շին աղբի բարձում և տեղափոխում դեպի թափոնակույտ </t>
  </si>
  <si>
    <t>C310-5</t>
  </si>
  <si>
    <t>ø²Ü¸Ø²Ü ²ÞÊ²î²ÜøÜºð</t>
  </si>
  <si>
    <t>E27-78</t>
  </si>
  <si>
    <t xml:space="preserve">Բազալտե եզրաքարերի տեղադրում 300x150մմ
</t>
  </si>
  <si>
    <t>âáñ ó/³í Ë³ñÝáõñ¹</t>
  </si>
  <si>
    <t>E11-132</t>
  </si>
  <si>
    <t>Բետոնե սալիկ</t>
  </si>
  <si>
    <t>´áõë³ÑáÕÇ Ý»ñÏñáõÙ ¨ ÷éáõÙ ï»ÕáõÙª 100 ÙÙ ß»ñïáí</t>
  </si>
  <si>
    <t>E48-168</t>
  </si>
  <si>
    <t>բոսահող</t>
  </si>
  <si>
    <t>E48-169</t>
  </si>
  <si>
    <t>î³ñ³ÍùÇ Ï³Ý³ã³å³ïÙ³Ý Çñ³Ï³Ý³óáõÙª ·³½áÝÇ ó³ÝáõÙ</t>
  </si>
  <si>
    <t>E48-214</t>
  </si>
  <si>
    <t>խոտի սերմեր</t>
  </si>
  <si>
    <t>Գրունտի փորում հիմքի համար</t>
  </si>
  <si>
    <t>60x40x2մմ պողպատե խողովակների արժեքը</t>
  </si>
  <si>
    <t>60x40x2մմ պողպատե խողովակներմ պողպատե խողովակներ</t>
  </si>
  <si>
    <t>40x20x2մմ պողպատե խողովակների արժեքը</t>
  </si>
  <si>
    <t>40x20x2մմ պողպատե խողովակներ</t>
  </si>
  <si>
    <t>պողպատե թիթեղի 8х250 արժեքը</t>
  </si>
  <si>
    <t>¶ñáõÝïÇ ÷áñáõÙ ÑÇÙùÇ Ñ³Ù³ñ</t>
  </si>
  <si>
    <t xml:space="preserve">Ê×Ç Ý³Ë³ß»ñïÇ ÉÇóù ÑÇÙùÇ ï³Ï
</t>
  </si>
  <si>
    <t>²í»Éáñ¹ ·ñáõÝïÇ μ³ñÓáõÙ և ï»Õ³÷áËáõÙ</t>
  </si>
  <si>
    <t>Աղբամանի մետաղական մասերի տեղադրում</t>
  </si>
  <si>
    <t>50x25x2մմ պողպատե խողովակների արժեքը</t>
  </si>
  <si>
    <t xml:space="preserve">äáÕå. ï³ß. Ñ»Í. N10, </t>
  </si>
  <si>
    <t>մետաղական թիթեղ 2 մմ</t>
  </si>
  <si>
    <t>Բազալտե  եզրաքարեր 300x150մմ</t>
  </si>
  <si>
    <t>Е9-202</t>
  </si>
  <si>
    <t>E27-22-1</t>
  </si>
  <si>
    <t>ò³ÝÏ³å³ï-1-Ç ù³Ý¹áõÙ ÑÇÙù»ñÇ Ñ»ï ÙÇ³ëÇÝª 115.0 ·ÍÙ</t>
  </si>
  <si>
    <t>Е9-46</t>
  </si>
  <si>
    <t>ò³ÝÏ³å³ï-2-Ç ù³Ý¹áõÙ ÑÇÙù»ñÇ Ñ»ï ÙÇ³ëÇÝª 29.0 ·ÍÙ</t>
  </si>
  <si>
    <t xml:space="preserve">´»ïáÝ» 200x80 ÙÙ ã³÷»ñÇ »½ñ³ù³ñ»ñÇ ï»Õ³¹ñáõÙ
</t>
  </si>
  <si>
    <t>Բետոնե եզրաքարեր 200x80մմ</t>
  </si>
  <si>
    <t>տնկիներ</t>
  </si>
  <si>
    <t>E48-204</t>
  </si>
  <si>
    <t>E48-120</t>
  </si>
  <si>
    <t>Գրունտի փորում հիմքերի համար</t>
  </si>
  <si>
    <t>բետոնե հիմքերի իրականացում B15 դասի բետոնից</t>
  </si>
  <si>
    <t>50x50x3մմ պողպատե խողովակների արժեքը</t>
  </si>
  <si>
    <t>50x50x3մմ պողպատե խողովակներ</t>
  </si>
  <si>
    <t>պողպատե թիթեղի արժեքը</t>
  </si>
  <si>
    <t>E10-70</t>
  </si>
  <si>
    <t>11-1</t>
  </si>
  <si>
    <t>հակասեպտիկ մածուկ</t>
  </si>
  <si>
    <t>մեխեր</t>
  </si>
  <si>
    <t>î³Ëï³ÏÇ É³ù³å³ïáõÙ</t>
  </si>
  <si>
    <t>լաք</t>
  </si>
  <si>
    <t xml:space="preserve">Խճի նախաշերտի լիցք՝ 100 մմ հաստությամբ
</t>
  </si>
  <si>
    <t>80x80x3մմ պողպատե խողովակների արժեքը</t>
  </si>
  <si>
    <t>60x60x3մմ պողպատե խողովակների արժեքը</t>
  </si>
  <si>
    <t>30x30x3մմ պողպատե խողովակների արժեքը</t>
  </si>
  <si>
    <t>Ø»ï³Õ³Ï³Ý Ù³ë»ñÇ Ý»ñÏáõÙ</t>
  </si>
  <si>
    <t>E1-962</t>
  </si>
  <si>
    <t>80-4</t>
  </si>
  <si>
    <t>E23-1</t>
  </si>
  <si>
    <t>ավազ</t>
  </si>
  <si>
    <t>E1-1640</t>
  </si>
  <si>
    <t>Խրամուղու ետլիցք բուլդոզերով, տեղի  բնահողով</t>
  </si>
  <si>
    <t>1000մ3</t>
  </si>
  <si>
    <t>31-8</t>
  </si>
  <si>
    <t>E1-1546</t>
  </si>
  <si>
    <t>Ավելնորդ գրունտի բարձում ավտոինքնաթափեր</t>
  </si>
  <si>
    <t>C310-2</t>
  </si>
  <si>
    <t xml:space="preserve">Ավելնորդ գրունտի տեղափոխում </t>
  </si>
  <si>
    <t>E22-64</t>
  </si>
  <si>
    <t>Պողպատե խողովակ ∅48x3մմ</t>
  </si>
  <si>
    <t>Պողպատե խողովակ ∅32x3մմ</t>
  </si>
  <si>
    <t>Պողպատե խողովակ ∅25x3մմ</t>
  </si>
  <si>
    <t>E22-383</t>
  </si>
  <si>
    <t>Ցնցուղային հանգույցների մոնտաժում</t>
  </si>
  <si>
    <t xml:space="preserve">Ցնցուղային հանգույցներ
</t>
  </si>
  <si>
    <t>Դատարկման  հանգույցների մոնտաժում</t>
  </si>
  <si>
    <t xml:space="preserve">Դատարկման  հանգույցներ
</t>
  </si>
  <si>
    <t>պողպատե ձևավոր մասերի տեղադրում</t>
  </si>
  <si>
    <t xml:space="preserve">պողպատե ձևավոր մասեր
</t>
  </si>
  <si>
    <t>E16-220</t>
  </si>
  <si>
    <t>Համակարգի փորձարկում</t>
  </si>
  <si>
    <t>22</t>
  </si>
  <si>
    <t>Ավազե բարձիկ խողովակների համար</t>
  </si>
  <si>
    <t>Փականի  մոնտաժում Dy48, P=1.0 Պա</t>
  </si>
  <si>
    <t xml:space="preserve">Պողպատե փական  Dy48,   
</t>
  </si>
  <si>
    <t>Փականի   մոնտաժում Dy32, P=1.0 Պա</t>
  </si>
  <si>
    <t xml:space="preserve">Պողպատե փական    Dy32
</t>
  </si>
  <si>
    <t>Պողպատե խողովակների և ձևավոր մասերի յուղաներկում</t>
  </si>
  <si>
    <t>Արտաքին լուսավորություն</t>
  </si>
  <si>
    <r>
      <t>ÜÛáõÃ»ñÇ ÙÇ³íáñÇ ³ñÅ»ùÁ (¶</t>
    </r>
    <r>
      <rPr>
        <vertAlign val="subscript"/>
        <sz val="8"/>
        <rFont val="Arial LatArm"/>
        <family val="2"/>
      </rPr>
      <t>ïñ³Ýëåáñï</t>
    </r>
    <r>
      <rPr>
        <sz val="8"/>
        <rFont val="Arial LatArm"/>
        <family val="2"/>
      </rPr>
      <t>)</t>
    </r>
  </si>
  <si>
    <t>E1-965</t>
  </si>
  <si>
    <t>80-7</t>
  </si>
  <si>
    <t>E1-969</t>
  </si>
  <si>
    <t>Գրունտի ետլիցք</t>
  </si>
  <si>
    <t>Ավելնորդ գրունտի փռում տեղում</t>
  </si>
  <si>
    <t xml:space="preserve">Խճի նախապատրաստական շերտ՝ 100 մմ
</t>
  </si>
  <si>
    <t>E33-764</t>
  </si>
  <si>
    <t>Բետոն B15</t>
  </si>
  <si>
    <t>254-1</t>
  </si>
  <si>
    <t>E33-401</t>
  </si>
  <si>
    <t>E6-83</t>
  </si>
  <si>
    <t xml:space="preserve">Պողպատե թիթեղ՝ 250x250x6
</t>
  </si>
  <si>
    <t>9-7</t>
  </si>
  <si>
    <t xml:space="preserve">Պողպատե թիթեղ՝ 250x250x6, </t>
  </si>
  <si>
    <t>Ц8-609-1</t>
  </si>
  <si>
    <t xml:space="preserve">ԼԵԴ լուսատու </t>
  </si>
  <si>
    <t>E33-471</t>
  </si>
  <si>
    <t xml:space="preserve">Ø³ÉáõË ìì¶ 4x10 ÙÙ2
</t>
  </si>
  <si>
    <t xml:space="preserve">Ø³ÉáõË ìì¶ 4x10 ÙÙ2
</t>
  </si>
  <si>
    <t xml:space="preserve">¾É.ë¨»éáÕ Ù»ï³Õ³×áå³Ýª ö6 ÙÙ
</t>
  </si>
  <si>
    <t xml:space="preserve">¾É.ë¨»éáÕ Ù»ï³Õ³×áå³Ýª ö6 ÙÙ
</t>
  </si>
  <si>
    <t>Ц8-149-1</t>
  </si>
  <si>
    <t xml:space="preserve">Èáõë³ïáõÝ»ñÇ ÉÇóù³íáñáõÙ 2x2.5 ÙÙ Ñ³Õáñ¹³É³ñáí
</t>
  </si>
  <si>
    <t>ПВ 2х2,5մմ2/ հաղորդալար</t>
  </si>
  <si>
    <t>C124-3</t>
  </si>
  <si>
    <t xml:space="preserve">È³ÛÝ³Ï óóÇÏáí
</t>
  </si>
  <si>
    <t xml:space="preserve">Լայնակ </t>
  </si>
  <si>
    <t>E15-613</t>
  </si>
  <si>
    <t>Հենասյան ներկում 2 շերտ</t>
  </si>
  <si>
    <t>164-7</t>
  </si>
  <si>
    <t>ներկեր</t>
  </si>
  <si>
    <t>C124-11</t>
  </si>
  <si>
    <t>Ø»ÏáõëÇãÝ»ñª îü20-01</t>
  </si>
  <si>
    <t xml:space="preserve">Ø»ÏáõëÇãÝ»ñª îü20-01
</t>
  </si>
  <si>
    <t>Ц8-472-8</t>
  </si>
  <si>
    <t xml:space="preserve">Èáõë³ïáõÝ»ñÇ ½»ñáÛ³óáõÙª 2x2.5 ÙÙ
</t>
  </si>
  <si>
    <t>Գրունտի հետլիցք</t>
  </si>
  <si>
    <t>ÐÇÙù»ñÇ µ»ïáÝ³óáõÙ B15 µ»ïáÝáí</t>
  </si>
  <si>
    <t>öáëáñ³ÏÝ»ñÇ քանդում</t>
  </si>
  <si>
    <t>E1-968</t>
  </si>
  <si>
    <t xml:space="preserve">Öáå³ÝÇ ë»ÕÙ³Ï
</t>
  </si>
  <si>
    <t>Öáå³ÝÇ ë»ÕÙ³Ï</t>
  </si>
  <si>
    <t xml:space="preserve">Ø³ÉáõËÇ Í³Ûñ»ñÇ ³Ùñ³ÏóáõÙ
</t>
  </si>
  <si>
    <t>Ц8-153-14</t>
  </si>
  <si>
    <t xml:space="preserve">Հենասյուն äáÕå. áõÕÕ. ËáÕ. 100x100x4ÙÙ
</t>
  </si>
  <si>
    <t xml:space="preserve">äáÕå. áõÕÕ. ËáÕ. 100x100x4ÙÙ
</t>
  </si>
  <si>
    <t xml:space="preserve">ամրան A1 14մմ
</t>
  </si>
  <si>
    <t>ամրան A1 14մմ</t>
  </si>
  <si>
    <t>äáÕå. ï³ß. Ñ»Í. N10, É=0.3Ù</t>
  </si>
  <si>
    <t>¸»Ïáñ³ïÇí Éáõë³ïáõ ³ñï³ùÇÝ</t>
  </si>
  <si>
    <t>Ոռոգման ցանց</t>
  </si>
  <si>
    <t>î³ñ³ÍùÇ Ù³ùñáõÙ Ã÷áõïÝ»ñÇó</t>
  </si>
  <si>
    <t>E1-1092</t>
  </si>
  <si>
    <t>äàôð²ÎÆ Î²èàôòØ²Ü ²ÞÊ²î²ÜøÜºð</t>
  </si>
  <si>
    <t>E11-11</t>
  </si>
  <si>
    <t xml:space="preserve">ÞÉ³ùÇ ÉÇóù Ë³Õ³Ññ³å³ñ³ÏáõÙª 100 ÙÙ ß»ñïáí
</t>
  </si>
  <si>
    <t>շլաք</t>
  </si>
  <si>
    <t>¶ñáõÝïÇ Ý»ñÏñáõÙ 80մ3</t>
  </si>
  <si>
    <t>E1-1587</t>
  </si>
  <si>
    <t>¶ñáõÝïÇ բարձում</t>
  </si>
  <si>
    <t>î³ñ³ÍùÇ ·ñáõÝïÇ Ñ³ñÃ»óáõÙ</t>
  </si>
  <si>
    <t>1000մ2</t>
  </si>
  <si>
    <t>E1-1655</t>
  </si>
  <si>
    <t>Ցանկապատ 78 գ.մ.</t>
  </si>
  <si>
    <t>E1-1545</t>
  </si>
  <si>
    <t>Գրունտի փորում մուտքի համար</t>
  </si>
  <si>
    <t xml:space="preserve">Խճի նախաշերտ հենապատի հիմքի տակ՝ 100 մմ
</t>
  </si>
  <si>
    <t>E6-20</t>
  </si>
  <si>
    <t>Հենապատի հիմքի կառուցում B20 դասի բետոնից</t>
  </si>
  <si>
    <t>E6-90</t>
  </si>
  <si>
    <t>Հենապատի իրանի կառուցում B20 դասի բետոնից</t>
  </si>
  <si>
    <t>շին. Հեղյուս</t>
  </si>
  <si>
    <t>E8-528</t>
  </si>
  <si>
    <t xml:space="preserve">բազալտե գլխադիրի տեղադրում՝500x50 մմ
</t>
  </si>
  <si>
    <t>գ. մ</t>
  </si>
  <si>
    <t>բազալտե գլխադիր</t>
  </si>
  <si>
    <t>19-4</t>
  </si>
  <si>
    <t>²í»Éáñ¹ ·ñáõÝïÇ ÷éáõÙ ï»ÕáõÙ</t>
  </si>
  <si>
    <t>E15-262</t>
  </si>
  <si>
    <t>ÐºÜ²ä²î-1ª L=85.80 Ù, H=0.70 Ù</t>
  </si>
  <si>
    <t>ÐºÜ²ä²î-2ª L=24.0 Ù, H=0.70 Ù</t>
  </si>
  <si>
    <t xml:space="preserve">´³½³Éï» ·ÉË³¹ÇñÇ ï»Õ³¹ñáõÙª É³ÛÝáõÃÛáõÝÁ-400 ÙÙ, Ñ³ëïáõÃÛáõÝÁ-50 ÙÙ
</t>
  </si>
  <si>
    <t xml:space="preserve">Անկյունակ՝ 40x40x2.5 մմ՝ </t>
  </si>
  <si>
    <t xml:space="preserve"> ներկ</t>
  </si>
  <si>
    <t>Անկյունակ՝ 40x40x2.5 մմ՝ 5,0 գծմ</t>
  </si>
  <si>
    <t>äáÕå³ï» ÃÇÃ»Õª 2000x500x5 ÙÙ, 1 Ñ³ï</t>
  </si>
  <si>
    <t>äáÕå³ï» ÃÇÃ»Õª 2000x500x5 ÙÙ,</t>
  </si>
  <si>
    <t>E9-122</t>
  </si>
  <si>
    <t>էլեկտրոդներ</t>
  </si>
  <si>
    <t>²Ô´²Ø²Ü (0.35x0.30x0.50 Ù) 9 հատ</t>
  </si>
  <si>
    <t>Նստարան 16 հատ</t>
  </si>
  <si>
    <t>äáÕå³ï» ËáÕáí³Ïª 102x4 ÙÙ, L= 2.50 Ù</t>
  </si>
  <si>
    <t>Ցանկապատ -2  24 գ.մ.</t>
  </si>
  <si>
    <t>102x2մմ պողպատե խողովակներ</t>
  </si>
  <si>
    <t>²ÝÏÛáõÝ³Ïª 40x40x5, L=8.0 Ù . L=0.40 Ù</t>
  </si>
  <si>
    <t>²ÝÏÛáõÝ³Ïª 40x40x5</t>
  </si>
  <si>
    <t>äáÕå³ï» ÃÇÃ»Õª 150x150x7, 1 Ñ³ï</t>
  </si>
  <si>
    <t>ò³Ýóª ö2.5, μçÇçÁ 50x50 ÙÙ</t>
  </si>
  <si>
    <t>²Ùñ³Ýª ö8 Ac-I, L=8.0 Ù</t>
  </si>
  <si>
    <t>ø²ðº ä²ðÆêä 17.0 գ.մ.</t>
  </si>
  <si>
    <t>´áõï³μ»ïáÝÇó ÑÇÙùÇ Ï³éáõóáõÙ B20 ¹³ëÇ μ»ïáÝÇó</t>
  </si>
  <si>
    <t>E6-21</t>
  </si>
  <si>
    <t>խամքար</t>
  </si>
  <si>
    <t>E6-106-4</t>
  </si>
  <si>
    <t>ծանր բետոն B20  դասի</t>
  </si>
  <si>
    <t>C124-1 8</t>
  </si>
  <si>
    <t>Ամրան AI դասի 8մմ</t>
  </si>
  <si>
    <t>C124-3 14</t>
  </si>
  <si>
    <t>Ամրան ф14 A500C</t>
  </si>
  <si>
    <t>Ամրան ф12A500C</t>
  </si>
  <si>
    <t>տուֆե քար</t>
  </si>
  <si>
    <t>îáõýÇó å³ñÇëåÇ Ï³éáõóáõÙ, 1 ß»ñï, 7.60 Ù2</t>
  </si>
  <si>
    <t>15-9</t>
  </si>
  <si>
    <t>´»ïáÝÇó Ñ³ñÃ³ß»ñïÇ Ï³éáõóáõÙ, B20 ¹³ëÇ</t>
  </si>
  <si>
    <t>E6-169-4</t>
  </si>
  <si>
    <t xml:space="preserve">Հենապատի ց/ավ սվաղի իրականացում
</t>
  </si>
  <si>
    <t>Գրունտի փորում ձեռքով խողովակների համար</t>
  </si>
  <si>
    <t>ծանր բետոն B 15</t>
  </si>
  <si>
    <t>E8-163</t>
  </si>
  <si>
    <t>50x25x2մմ պողպատե խողովակներ</t>
  </si>
  <si>
    <t>80x80x3մմ պողպատե խողովակներ</t>
  </si>
  <si>
    <t>60x60x3մմ պողպատե խողովակներ</t>
  </si>
  <si>
    <t>30x30x3մմ պողպատե խողովակներ</t>
  </si>
  <si>
    <t>º/ բ Ï³Ý·Ý³ÏÇ Ï³éáõóáõÙ B20 ¹³ëÇ μ»ïáÝÇó</t>
  </si>
  <si>
    <r>
      <t>¶</t>
    </r>
    <r>
      <rPr>
        <vertAlign val="subscript"/>
        <sz val="10"/>
        <rFont val="Arial LatArm"/>
        <family val="2"/>
      </rPr>
      <t>ïñ³Ýëåáñï</t>
    </r>
    <r>
      <rPr>
        <b/>
        <sz val="10"/>
        <rFont val="Arial LatArm"/>
        <family val="2"/>
      </rPr>
      <t xml:space="preserve"> =</t>
    </r>
  </si>
  <si>
    <t xml:space="preserve">Ê×Ç ïá÷³ÝáõÙ ïáÙ»ïÇó Ñ³ï³ÏÇ ï³Ïª 100 ÙÙ
</t>
  </si>
  <si>
    <t xml:space="preserve">âáñ ó/³í. Ë³ñÝáõñ¹Ç ÉÇóù ïáÙ»ïÇ ï³Ïª 1/4 Ñ³ñ³μ»ñáõÃÛ³Ùμ, 50 ÙÙ
</t>
  </si>
  <si>
    <t xml:space="preserve">îáÙ»ïÇ Çñ³Ï³Ý³óáõÙª 60 ÙÙ Ñ³ëïáõÃÛ³Ùμ
</t>
  </si>
  <si>
    <t xml:space="preserve">î³ñ³ÍùáõÙ ¹»Ïáñ³ïÇí Í³é»ñÇ ïÝÏÇÝ»ñÇ ïÝÏáõÙ
</t>
  </si>
  <si>
    <t>äáÕå. ï³ß. Ñ»Í. N10,  արժեքը</t>
  </si>
  <si>
    <t>Փայտե երեսապատում ï³Ëï³ÏÝ»ñª 90x600x50 ÙÙ,</t>
  </si>
  <si>
    <t xml:space="preserve">      ՋՐԱՏԱՐ ԱՌՎԱԿÆ Ì²ÌÎ 4 հատ</t>
  </si>
  <si>
    <t xml:space="preserve">Ê×Ç ÉÇóù ³ëý³ÉïÇ ß»ñïÇ ï³Ïª 100 ÙÙ ß»ñïáí
</t>
  </si>
  <si>
    <t>ԾԱՎԱԼԱԹԵՐԹ ՆԱԽԱՀԱՇԻՎ</t>
  </si>
  <si>
    <t>ÐÐ Îàî²ÚøÆ Ø²ð¼Æ Üàð ºð¼ÜÎ² Ð²Ø²ÚÜøàôØ
Ê²Ô²Ðð²ä²ð²ÎÆ Î²èàôՈՒòØ</t>
  </si>
  <si>
    <t>ԱԱՀ</t>
  </si>
  <si>
    <t xml:space="preserve">Մետաղական մասերի ներկում հակակոռոզիոն ներկով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</si>
</sst>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;;;"/>
    <numFmt numFmtId="166" formatCode="0.0"/>
    <numFmt numFmtId="167" formatCode="0.0000"/>
    <numFmt numFmtId="168" formatCode="_-* #,##0.00_р_._-;\-* #,##0.00_р_._-;_-* &quot;-&quot;??_р_._-;_-@_-"/>
  </numFmts>
  <fonts count="40">
    <font>
      <sz val="10"/>
      <name val="Arial"/>
    </font>
    <font>
      <sz val="10"/>
      <name val="Arial"/>
      <family val="2"/>
    </font>
    <font>
      <sz val="10"/>
      <name val="Arial Armenian"/>
      <family val="2"/>
    </font>
    <font>
      <sz val="10"/>
      <name val="Arial"/>
      <family val="2"/>
    </font>
    <font>
      <sz val="10"/>
      <name val="Arial LatArm"/>
      <family val="2"/>
    </font>
    <font>
      <b/>
      <sz val="9"/>
      <name val="Arial LatArm"/>
      <family val="2"/>
    </font>
    <font>
      <b/>
      <sz val="10"/>
      <name val="Arial LatArm"/>
      <family val="2"/>
    </font>
    <font>
      <b/>
      <sz val="12"/>
      <name val="Arial LatArm"/>
      <family val="2"/>
    </font>
    <font>
      <b/>
      <sz val="11"/>
      <name val="Arial LatArm"/>
      <family val="2"/>
    </font>
    <font>
      <sz val="8"/>
      <name val="Arial LatArm"/>
      <family val="2"/>
    </font>
    <font>
      <sz val="9"/>
      <name val="Arial LatArm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Armeni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Arial LatArm"/>
      <family val="2"/>
    </font>
    <font>
      <i/>
      <sz val="10"/>
      <name val="Arial LatArm"/>
      <family val="2"/>
    </font>
    <font>
      <i/>
      <sz val="9"/>
      <name val="Arial LatArm"/>
      <family val="2"/>
    </font>
    <font>
      <b/>
      <i/>
      <sz val="9"/>
      <name val="Arial LatArm"/>
      <family val="2"/>
    </font>
    <font>
      <b/>
      <sz val="8"/>
      <name val="Arial LatArm"/>
      <family val="2"/>
    </font>
    <font>
      <vertAlign val="subscript"/>
      <sz val="8"/>
      <name val="Arial LatArm"/>
      <family val="2"/>
    </font>
    <font>
      <vertAlign val="subscript"/>
      <sz val="10"/>
      <name val="Arial LatArm"/>
      <family val="2"/>
    </font>
    <font>
      <sz val="9"/>
      <color theme="0"/>
      <name val="Arial LatArm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3" fillId="0" borderId="0"/>
    <xf numFmtId="0" fontId="2" fillId="0" borderId="0"/>
    <xf numFmtId="0" fontId="11" fillId="0" borderId="0"/>
    <xf numFmtId="0" fontId="1" fillId="0" borderId="0"/>
    <xf numFmtId="0" fontId="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9" fontId="1" fillId="0" borderId="0" applyFont="0" applyFill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62" applyNumberFormat="0" applyAlignment="0" applyProtection="0"/>
    <xf numFmtId="0" fontId="16" fillId="21" borderId="63" applyNumberFormat="0" applyAlignment="0" applyProtection="0"/>
    <xf numFmtId="0" fontId="17" fillId="21" borderId="62" applyNumberFormat="0" applyAlignment="0" applyProtection="0"/>
    <xf numFmtId="0" fontId="18" fillId="0" borderId="64" applyNumberFormat="0" applyFill="0" applyAlignment="0" applyProtection="0"/>
    <xf numFmtId="0" fontId="19" fillId="0" borderId="65" applyNumberFormat="0" applyFill="0" applyAlignment="0" applyProtection="0"/>
    <xf numFmtId="0" fontId="20" fillId="0" borderId="6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7" applyNumberFormat="0" applyFill="0" applyAlignment="0" applyProtection="0"/>
    <xf numFmtId="0" fontId="22" fillId="22" borderId="68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4" fillId="0" borderId="0"/>
    <xf numFmtId="0" fontId="14" fillId="0" borderId="0"/>
    <xf numFmtId="0" fontId="25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4" borderId="69" applyNumberFormat="0" applyFont="0" applyAlignment="0" applyProtection="0"/>
    <xf numFmtId="0" fontId="29" fillId="0" borderId="70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</cellStyleXfs>
  <cellXfs count="651">
    <xf numFmtId="0" fontId="0" fillId="0" borderId="0" xfId="0"/>
    <xf numFmtId="0" fontId="4" fillId="25" borderId="0" xfId="4" applyFont="1" applyFill="1"/>
    <xf numFmtId="165" fontId="4" fillId="25" borderId="0" xfId="4" applyNumberFormat="1" applyFont="1" applyFill="1"/>
    <xf numFmtId="0" fontId="7" fillId="25" borderId="0" xfId="4" applyFont="1" applyFill="1" applyAlignment="1"/>
    <xf numFmtId="0" fontId="32" fillId="25" borderId="0" xfId="4" applyFont="1" applyFill="1" applyAlignment="1">
      <alignment vertical="center"/>
    </xf>
    <xf numFmtId="0" fontId="33" fillId="25" borderId="0" xfId="4" applyFont="1" applyFill="1" applyAlignment="1">
      <alignment vertical="center"/>
    </xf>
    <xf numFmtId="49" fontId="8" fillId="25" borderId="0" xfId="4" applyNumberFormat="1" applyFont="1" applyFill="1" applyAlignment="1">
      <alignment horizontal="right"/>
    </xf>
    <xf numFmtId="49" fontId="7" fillId="25" borderId="0" xfId="4" applyNumberFormat="1" applyFont="1" applyFill="1" applyAlignment="1"/>
    <xf numFmtId="165" fontId="7" fillId="25" borderId="0" xfId="4" applyNumberFormat="1" applyFont="1" applyFill="1" applyAlignment="1"/>
    <xf numFmtId="0" fontId="4" fillId="25" borderId="0" xfId="4" applyFont="1" applyFill="1" applyAlignment="1"/>
    <xf numFmtId="0" fontId="9" fillId="25" borderId="0" xfId="4" applyFont="1" applyFill="1" applyAlignment="1"/>
    <xf numFmtId="165" fontId="4" fillId="25" borderId="0" xfId="4" applyNumberFormat="1" applyFont="1" applyFill="1" applyAlignment="1"/>
    <xf numFmtId="0" fontId="33" fillId="25" borderId="0" xfId="4" applyFont="1" applyFill="1" applyAlignment="1">
      <alignment horizontal="right"/>
    </xf>
    <xf numFmtId="0" fontId="4" fillId="25" borderId="0" xfId="4" applyFont="1" applyFill="1" applyAlignment="1">
      <alignment horizontal="left" vertical="center"/>
    </xf>
    <xf numFmtId="0" fontId="33" fillId="25" borderId="0" xfId="4" applyFont="1" applyFill="1" applyAlignment="1">
      <alignment horizontal="left"/>
    </xf>
    <xf numFmtId="14" fontId="6" fillId="25" borderId="0" xfId="4" applyNumberFormat="1" applyFont="1" applyFill="1" applyAlignment="1">
      <alignment horizontal="left"/>
    </xf>
    <xf numFmtId="2" fontId="7" fillId="25" borderId="0" xfId="4" applyNumberFormat="1" applyFont="1" applyFill="1" applyAlignment="1">
      <alignment horizontal="center"/>
    </xf>
    <xf numFmtId="0" fontId="34" fillId="25" borderId="0" xfId="4" applyFont="1" applyFill="1" applyAlignment="1">
      <alignment shrinkToFit="1"/>
    </xf>
    <xf numFmtId="0" fontId="4" fillId="25" borderId="0" xfId="4" applyFont="1" applyFill="1" applyAlignment="1">
      <alignment shrinkToFit="1"/>
    </xf>
    <xf numFmtId="0" fontId="33" fillId="25" borderId="0" xfId="0" applyFont="1" applyFill="1" applyAlignment="1">
      <alignment horizontal="left"/>
    </xf>
    <xf numFmtId="0" fontId="33" fillId="25" borderId="0" xfId="0" applyFont="1" applyFill="1" applyAlignment="1">
      <alignment horizontal="center"/>
    </xf>
    <xf numFmtId="0" fontId="4" fillId="25" borderId="0" xfId="0" applyFont="1" applyFill="1" applyAlignment="1"/>
    <xf numFmtId="0" fontId="6" fillId="25" borderId="0" xfId="0" applyFont="1" applyFill="1" applyAlignment="1">
      <alignment horizontal="right" vertical="center"/>
    </xf>
    <xf numFmtId="0" fontId="6" fillId="25" borderId="0" xfId="0" applyFont="1" applyFill="1" applyAlignment="1"/>
    <xf numFmtId="0" fontId="6" fillId="25" borderId="0" xfId="0" applyFont="1" applyFill="1" applyAlignment="1">
      <alignment horizontal="center"/>
    </xf>
    <xf numFmtId="0" fontId="33" fillId="25" borderId="0" xfId="3" applyFont="1" applyFill="1" applyAlignment="1">
      <alignment horizontal="left"/>
    </xf>
    <xf numFmtId="0" fontId="33" fillId="25" borderId="0" xfId="0" applyFont="1" applyFill="1" applyAlignment="1">
      <alignment horizontal="right"/>
    </xf>
    <xf numFmtId="2" fontId="32" fillId="25" borderId="0" xfId="0" applyNumberFormat="1" applyFont="1" applyFill="1" applyAlignment="1">
      <alignment horizontal="left" vertical="center"/>
    </xf>
    <xf numFmtId="0" fontId="32" fillId="25" borderId="0" xfId="0" applyFont="1" applyFill="1" applyAlignment="1"/>
    <xf numFmtId="0" fontId="6" fillId="25" borderId="0" xfId="4" applyFont="1" applyFill="1"/>
    <xf numFmtId="0" fontId="9" fillId="25" borderId="0" xfId="4" applyFont="1" applyFill="1"/>
    <xf numFmtId="0" fontId="10" fillId="25" borderId="50" xfId="4" applyFont="1" applyFill="1" applyBorder="1" applyAlignment="1">
      <alignment horizontal="center" vertical="center" wrapText="1"/>
    </xf>
    <xf numFmtId="0" fontId="9" fillId="25" borderId="3" xfId="4" applyFont="1" applyFill="1" applyBorder="1" applyAlignment="1">
      <alignment horizontal="center" vertical="center" textRotation="90" wrapText="1"/>
    </xf>
    <xf numFmtId="0" fontId="9" fillId="25" borderId="2" xfId="4" applyFont="1" applyFill="1" applyBorder="1" applyAlignment="1">
      <alignment horizontal="center" vertical="center" textRotation="90" wrapText="1"/>
    </xf>
    <xf numFmtId="0" fontId="9" fillId="25" borderId="38" xfId="4" applyFont="1" applyFill="1" applyBorder="1" applyAlignment="1">
      <alignment horizontal="center" vertical="center" textRotation="90" wrapText="1"/>
    </xf>
    <xf numFmtId="0" fontId="9" fillId="25" borderId="22" xfId="4" applyFont="1" applyFill="1" applyBorder="1" applyAlignment="1">
      <alignment horizontal="center" vertical="center" textRotation="90" wrapText="1"/>
    </xf>
    <xf numFmtId="0" fontId="10" fillId="25" borderId="3" xfId="4" applyFont="1" applyFill="1" applyBorder="1" applyAlignment="1">
      <alignment horizontal="center" vertical="center"/>
    </xf>
    <xf numFmtId="0" fontId="4" fillId="25" borderId="3" xfId="4" applyFont="1" applyFill="1" applyBorder="1" applyAlignment="1">
      <alignment horizontal="center" vertical="center" textRotation="90" wrapText="1"/>
    </xf>
    <xf numFmtId="0" fontId="9" fillId="25" borderId="3" xfId="4" applyFont="1" applyFill="1" applyBorder="1" applyAlignment="1">
      <alignment horizontal="center" textRotation="90" wrapText="1"/>
    </xf>
    <xf numFmtId="0" fontId="4" fillId="25" borderId="22" xfId="4" applyFont="1" applyFill="1" applyBorder="1" applyAlignment="1">
      <alignment horizontal="center" textRotation="90" wrapText="1"/>
    </xf>
    <xf numFmtId="0" fontId="9" fillId="25" borderId="38" xfId="4" applyFont="1" applyFill="1" applyBorder="1" applyAlignment="1">
      <alignment horizontal="center" textRotation="90" wrapText="1"/>
    </xf>
    <xf numFmtId="0" fontId="9" fillId="25" borderId="2" xfId="4" applyFont="1" applyFill="1" applyBorder="1" applyAlignment="1">
      <alignment horizontal="center" textRotation="90" wrapText="1"/>
    </xf>
    <xf numFmtId="0" fontId="10" fillId="25" borderId="40" xfId="4" applyNumberFormat="1" applyFont="1" applyFill="1" applyBorder="1" applyAlignment="1">
      <alignment horizontal="center" vertical="top" shrinkToFit="1"/>
    </xf>
    <xf numFmtId="49" fontId="10" fillId="25" borderId="4" xfId="4" applyNumberFormat="1" applyFont="1" applyFill="1" applyBorder="1" applyAlignment="1">
      <alignment horizontal="center" vertical="top" wrapText="1"/>
    </xf>
    <xf numFmtId="0" fontId="10" fillId="25" borderId="4" xfId="4" applyNumberFormat="1" applyFont="1" applyFill="1" applyBorder="1" applyAlignment="1">
      <alignment horizontal="center" vertical="center"/>
    </xf>
    <xf numFmtId="164" fontId="10" fillId="25" borderId="12" xfId="4" applyNumberFormat="1" applyFont="1" applyFill="1" applyBorder="1" applyAlignment="1">
      <alignment horizontal="center" vertical="center" shrinkToFit="1"/>
    </xf>
    <xf numFmtId="2" fontId="10" fillId="25" borderId="4" xfId="4" applyNumberFormat="1" applyFont="1" applyFill="1" applyBorder="1" applyAlignment="1">
      <alignment vertical="top"/>
    </xf>
    <xf numFmtId="2" fontId="10" fillId="25" borderId="4" xfId="4" applyNumberFormat="1" applyFont="1" applyFill="1" applyBorder="1" applyAlignment="1">
      <alignment vertical="top" shrinkToFit="1"/>
    </xf>
    <xf numFmtId="2" fontId="10" fillId="25" borderId="23" xfId="4" applyNumberFormat="1" applyFont="1" applyFill="1" applyBorder="1" applyAlignment="1">
      <alignment vertical="top"/>
    </xf>
    <xf numFmtId="2" fontId="10" fillId="25" borderId="29" xfId="4" applyNumberFormat="1" applyFont="1" applyFill="1" applyBorder="1" applyAlignment="1">
      <alignment vertical="top"/>
    </xf>
    <xf numFmtId="2" fontId="9" fillId="25" borderId="4" xfId="4" applyNumberFormat="1" applyFont="1" applyFill="1" applyBorder="1" applyAlignment="1">
      <alignment vertical="top"/>
    </xf>
    <xf numFmtId="0" fontId="10" fillId="25" borderId="4" xfId="4" applyNumberFormat="1" applyFont="1" applyFill="1" applyBorder="1" applyAlignment="1">
      <alignment horizontal="center" vertical="center" shrinkToFit="1"/>
    </xf>
    <xf numFmtId="2" fontId="10" fillId="25" borderId="4" xfId="4" applyNumberFormat="1" applyFont="1" applyFill="1" applyBorder="1" applyAlignment="1">
      <alignment horizontal="center" vertical="center"/>
    </xf>
    <xf numFmtId="2" fontId="10" fillId="25" borderId="29" xfId="4" applyNumberFormat="1" applyFont="1" applyFill="1" applyBorder="1" applyAlignment="1">
      <alignment vertical="top" shrinkToFit="1"/>
    </xf>
    <xf numFmtId="2" fontId="10" fillId="25" borderId="2" xfId="4" applyNumberFormat="1" applyFont="1" applyFill="1" applyBorder="1" applyAlignment="1">
      <alignment horizontal="center" vertical="center" shrinkToFit="1"/>
    </xf>
    <xf numFmtId="0" fontId="39" fillId="25" borderId="0" xfId="4" applyNumberFormat="1" applyFont="1" applyFill="1" applyAlignment="1">
      <alignment vertical="top"/>
    </xf>
    <xf numFmtId="165" fontId="10" fillId="25" borderId="0" xfId="4" applyNumberFormat="1" applyFont="1" applyFill="1" applyAlignment="1">
      <alignment vertical="top"/>
    </xf>
    <xf numFmtId="0" fontId="10" fillId="25" borderId="0" xfId="4" applyNumberFormat="1" applyFont="1" applyFill="1" applyAlignment="1">
      <alignment vertical="top"/>
    </xf>
    <xf numFmtId="0" fontId="10" fillId="25" borderId="20" xfId="4" applyNumberFormat="1" applyFont="1" applyFill="1" applyBorder="1" applyAlignment="1">
      <alignment horizontal="center" vertical="top"/>
    </xf>
    <xf numFmtId="49" fontId="10" fillId="25" borderId="0" xfId="4" applyNumberFormat="1" applyFont="1" applyFill="1" applyBorder="1" applyAlignment="1">
      <alignment horizontal="center" vertical="top" wrapText="1"/>
    </xf>
    <xf numFmtId="0" fontId="10" fillId="25" borderId="0" xfId="4" applyNumberFormat="1" applyFont="1" applyFill="1" applyBorder="1" applyAlignment="1">
      <alignment horizontal="center" vertical="center"/>
    </xf>
    <xf numFmtId="2" fontId="10" fillId="25" borderId="13" xfId="4" applyNumberFormat="1" applyFont="1" applyFill="1" applyBorder="1" applyAlignment="1">
      <alignment horizontal="center" vertical="center" shrinkToFit="1"/>
    </xf>
    <xf numFmtId="2" fontId="10" fillId="25" borderId="0" xfId="4" applyNumberFormat="1" applyFont="1" applyFill="1" applyBorder="1" applyAlignment="1">
      <alignment vertical="top"/>
    </xf>
    <xf numFmtId="2" fontId="10" fillId="25" borderId="8" xfId="4" applyNumberFormat="1" applyFont="1" applyFill="1" applyBorder="1" applyAlignment="1">
      <alignment vertical="top"/>
    </xf>
    <xf numFmtId="2" fontId="10" fillId="25" borderId="9" xfId="4" applyNumberFormat="1" applyFont="1" applyFill="1" applyBorder="1" applyAlignment="1">
      <alignment vertical="top"/>
    </xf>
    <xf numFmtId="0" fontId="10" fillId="25" borderId="28" xfId="4" applyNumberFormat="1" applyFont="1" applyFill="1" applyBorder="1" applyAlignment="1">
      <alignment horizontal="center" vertical="center" shrinkToFit="1"/>
    </xf>
    <xf numFmtId="2" fontId="10" fillId="25" borderId="28" xfId="4" applyNumberFormat="1" applyFont="1" applyFill="1" applyBorder="1" applyAlignment="1">
      <alignment horizontal="center" vertical="center" shrinkToFit="1"/>
    </xf>
    <xf numFmtId="2" fontId="10" fillId="25" borderId="28" xfId="4" applyNumberFormat="1" applyFont="1" applyFill="1" applyBorder="1" applyAlignment="1">
      <alignment horizontal="center" vertical="center"/>
    </xf>
    <xf numFmtId="2" fontId="10" fillId="25" borderId="28" xfId="4" applyNumberFormat="1" applyFont="1" applyFill="1" applyBorder="1" applyAlignment="1">
      <alignment vertical="top" shrinkToFit="1"/>
    </xf>
    <xf numFmtId="2" fontId="10" fillId="25" borderId="30" xfId="4" applyNumberFormat="1" applyFont="1" applyFill="1" applyBorder="1" applyAlignment="1">
      <alignment vertical="top" shrinkToFit="1"/>
    </xf>
    <xf numFmtId="0" fontId="10" fillId="25" borderId="0" xfId="4" applyNumberFormat="1" applyFont="1" applyFill="1" applyBorder="1" applyAlignment="1">
      <alignment vertical="top"/>
    </xf>
    <xf numFmtId="2" fontId="10" fillId="25" borderId="0" xfId="4" applyNumberFormat="1" applyFont="1" applyFill="1" applyBorder="1" applyAlignment="1">
      <alignment vertical="top" shrinkToFit="1"/>
    </xf>
    <xf numFmtId="0" fontId="10" fillId="25" borderId="33" xfId="4" applyNumberFormat="1" applyFont="1" applyFill="1" applyBorder="1" applyAlignment="1">
      <alignment horizontal="center" vertical="center" shrinkToFit="1"/>
    </xf>
    <xf numFmtId="2" fontId="10" fillId="25" borderId="33" xfId="4" applyNumberFormat="1" applyFont="1" applyFill="1" applyBorder="1" applyAlignment="1">
      <alignment horizontal="center" vertical="center"/>
    </xf>
    <xf numFmtId="2" fontId="10" fillId="25" borderId="33" xfId="4" applyNumberFormat="1" applyFont="1" applyFill="1" applyBorder="1" applyAlignment="1">
      <alignment vertical="top"/>
    </xf>
    <xf numFmtId="2" fontId="10" fillId="25" borderId="36" xfId="4" applyNumberFormat="1" applyFont="1" applyFill="1" applyBorder="1" applyAlignment="1">
      <alignment vertical="top" shrinkToFit="1"/>
    </xf>
    <xf numFmtId="0" fontId="10" fillId="25" borderId="21" xfId="4" applyNumberFormat="1" applyFont="1" applyFill="1" applyBorder="1" applyAlignment="1">
      <alignment horizontal="center" vertical="top"/>
    </xf>
    <xf numFmtId="0" fontId="10" fillId="25" borderId="1" xfId="4" applyNumberFormat="1" applyFont="1" applyFill="1" applyBorder="1" applyAlignment="1">
      <alignment vertical="top"/>
    </xf>
    <xf numFmtId="0" fontId="4" fillId="25" borderId="14" xfId="4" applyNumberFormat="1" applyFont="1" applyFill="1" applyBorder="1" applyAlignment="1">
      <alignment vertical="top"/>
    </xf>
    <xf numFmtId="0" fontId="10" fillId="25" borderId="1" xfId="4" applyNumberFormat="1" applyFont="1" applyFill="1" applyBorder="1" applyAlignment="1">
      <alignment horizontal="center" vertical="center"/>
    </xf>
    <xf numFmtId="2" fontId="10" fillId="25" borderId="14" xfId="4" applyNumberFormat="1" applyFont="1" applyFill="1" applyBorder="1" applyAlignment="1">
      <alignment horizontal="center" vertical="center" shrinkToFit="1"/>
    </xf>
    <xf numFmtId="2" fontId="10" fillId="25" borderId="1" xfId="4" applyNumberFormat="1" applyFont="1" applyFill="1" applyBorder="1" applyAlignment="1">
      <alignment vertical="top"/>
    </xf>
    <xf numFmtId="2" fontId="10" fillId="25" borderId="1" xfId="4" applyNumberFormat="1" applyFont="1" applyFill="1" applyBorder="1" applyAlignment="1">
      <alignment vertical="top" shrinkToFit="1"/>
    </xf>
    <xf numFmtId="2" fontId="10" fillId="25" borderId="10" xfId="4" applyNumberFormat="1" applyFont="1" applyFill="1" applyBorder="1" applyAlignment="1">
      <alignment vertical="top"/>
    </xf>
    <xf numFmtId="2" fontId="10" fillId="25" borderId="11" xfId="4" applyNumberFormat="1" applyFont="1" applyFill="1" applyBorder="1" applyAlignment="1">
      <alignment vertical="top"/>
    </xf>
    <xf numFmtId="2" fontId="9" fillId="25" borderId="1" xfId="4" applyNumberFormat="1" applyFont="1" applyFill="1" applyBorder="1" applyAlignment="1">
      <alignment vertical="top"/>
    </xf>
    <xf numFmtId="0" fontId="10" fillId="25" borderId="1" xfId="4" applyNumberFormat="1" applyFont="1" applyFill="1" applyBorder="1" applyAlignment="1">
      <alignment horizontal="center" vertical="center" shrinkToFit="1"/>
    </xf>
    <xf numFmtId="2" fontId="10" fillId="25" borderId="1" xfId="4" applyNumberFormat="1" applyFont="1" applyFill="1" applyBorder="1" applyAlignment="1">
      <alignment horizontal="center" vertical="center"/>
    </xf>
    <xf numFmtId="2" fontId="10" fillId="25" borderId="11" xfId="4" applyNumberFormat="1" applyFont="1" applyFill="1" applyBorder="1" applyAlignment="1">
      <alignment vertical="top" shrinkToFit="1"/>
    </xf>
    <xf numFmtId="2" fontId="10" fillId="25" borderId="49" xfId="4" applyNumberFormat="1" applyFont="1" applyFill="1" applyBorder="1" applyAlignment="1">
      <alignment vertical="center" shrinkToFit="1"/>
    </xf>
    <xf numFmtId="2" fontId="10" fillId="25" borderId="12" xfId="4" applyNumberFormat="1" applyFont="1" applyFill="1" applyBorder="1" applyAlignment="1">
      <alignment horizontal="center" vertical="center" shrinkToFit="1"/>
    </xf>
    <xf numFmtId="2" fontId="9" fillId="25" borderId="3" xfId="4" applyNumberFormat="1" applyFont="1" applyFill="1" applyBorder="1" applyAlignment="1">
      <alignment vertical="top"/>
    </xf>
    <xf numFmtId="0" fontId="10" fillId="25" borderId="3" xfId="4" applyNumberFormat="1" applyFont="1" applyFill="1" applyBorder="1" applyAlignment="1">
      <alignment horizontal="center" vertical="center" shrinkToFit="1"/>
    </xf>
    <xf numFmtId="2" fontId="10" fillId="25" borderId="3" xfId="4" applyNumberFormat="1" applyFont="1" applyFill="1" applyBorder="1" applyAlignment="1">
      <alignment horizontal="center" vertical="center"/>
    </xf>
    <xf numFmtId="2" fontId="10" fillId="25" borderId="3" xfId="4" applyNumberFormat="1" applyFont="1" applyFill="1" applyBorder="1" applyAlignment="1">
      <alignment vertical="top"/>
    </xf>
    <xf numFmtId="2" fontId="10" fillId="25" borderId="22" xfId="4" applyNumberFormat="1" applyFont="1" applyFill="1" applyBorder="1" applyAlignment="1">
      <alignment vertical="top" shrinkToFit="1"/>
    </xf>
    <xf numFmtId="2" fontId="10" fillId="25" borderId="43" xfId="4" applyNumberFormat="1" applyFont="1" applyFill="1" applyBorder="1" applyAlignment="1">
      <alignment horizontal="center" vertical="center" shrinkToFit="1"/>
    </xf>
    <xf numFmtId="2" fontId="9" fillId="25" borderId="0" xfId="4" applyNumberFormat="1" applyFont="1" applyFill="1" applyBorder="1" applyAlignment="1">
      <alignment vertical="top"/>
    </xf>
    <xf numFmtId="0" fontId="10" fillId="25" borderId="0" xfId="4" applyNumberFormat="1" applyFont="1" applyFill="1" applyBorder="1" applyAlignment="1">
      <alignment horizontal="center" vertical="center" shrinkToFit="1"/>
    </xf>
    <xf numFmtId="2" fontId="10" fillId="25" borderId="0" xfId="4" applyNumberFormat="1" applyFont="1" applyFill="1" applyBorder="1" applyAlignment="1">
      <alignment horizontal="center" vertical="center"/>
    </xf>
    <xf numFmtId="2" fontId="10" fillId="25" borderId="9" xfId="4" applyNumberFormat="1" applyFont="1" applyFill="1" applyBorder="1" applyAlignment="1">
      <alignment vertical="top" shrinkToFit="1"/>
    </xf>
    <xf numFmtId="2" fontId="10" fillId="25" borderId="18" xfId="4" applyNumberFormat="1" applyFont="1" applyFill="1" applyBorder="1" applyAlignment="1">
      <alignment vertical="center" shrinkToFit="1"/>
    </xf>
    <xf numFmtId="0" fontId="10" fillId="25" borderId="40" xfId="0" applyNumberFormat="1" applyFont="1" applyFill="1" applyBorder="1" applyAlignment="1">
      <alignment horizontal="center" vertical="top" shrinkToFit="1"/>
    </xf>
    <xf numFmtId="49" fontId="10" fillId="25" borderId="4" xfId="0" applyNumberFormat="1" applyFont="1" applyFill="1" applyBorder="1" applyAlignment="1">
      <alignment horizontal="center" vertical="top" wrapText="1"/>
    </xf>
    <xf numFmtId="0" fontId="10" fillId="25" borderId="4" xfId="0" applyNumberFormat="1" applyFont="1" applyFill="1" applyBorder="1" applyAlignment="1">
      <alignment horizontal="center" vertical="center"/>
    </xf>
    <xf numFmtId="2" fontId="10" fillId="25" borderId="12" xfId="0" applyNumberFormat="1" applyFont="1" applyFill="1" applyBorder="1" applyAlignment="1">
      <alignment horizontal="center" vertical="center" shrinkToFit="1"/>
    </xf>
    <xf numFmtId="2" fontId="10" fillId="25" borderId="4" xfId="0" applyNumberFormat="1" applyFont="1" applyFill="1" applyBorder="1" applyAlignment="1">
      <alignment vertical="top"/>
    </xf>
    <xf numFmtId="2" fontId="10" fillId="25" borderId="4" xfId="0" applyNumberFormat="1" applyFont="1" applyFill="1" applyBorder="1" applyAlignment="1">
      <alignment vertical="top" shrinkToFit="1"/>
    </xf>
    <xf numFmtId="2" fontId="10" fillId="25" borderId="23" xfId="0" applyNumberFormat="1" applyFont="1" applyFill="1" applyBorder="1" applyAlignment="1">
      <alignment vertical="top"/>
    </xf>
    <xf numFmtId="2" fontId="10" fillId="25" borderId="29" xfId="0" applyNumberFormat="1" applyFont="1" applyFill="1" applyBorder="1" applyAlignment="1">
      <alignment vertical="top"/>
    </xf>
    <xf numFmtId="2" fontId="9" fillId="25" borderId="3" xfId="0" applyNumberFormat="1" applyFont="1" applyFill="1" applyBorder="1" applyAlignment="1">
      <alignment vertical="top"/>
    </xf>
    <xf numFmtId="0" fontId="10" fillId="25" borderId="3" xfId="0" applyNumberFormat="1" applyFont="1" applyFill="1" applyBorder="1" applyAlignment="1">
      <alignment horizontal="center" vertical="center" shrinkToFit="1"/>
    </xf>
    <xf numFmtId="2" fontId="10" fillId="25" borderId="3" xfId="0" applyNumberFormat="1" applyFont="1" applyFill="1" applyBorder="1" applyAlignment="1">
      <alignment horizontal="center" vertical="center"/>
    </xf>
    <xf numFmtId="2" fontId="10" fillId="25" borderId="3" xfId="0" applyNumberFormat="1" applyFont="1" applyFill="1" applyBorder="1" applyAlignment="1">
      <alignment vertical="top"/>
    </xf>
    <xf numFmtId="2" fontId="10" fillId="25" borderId="22" xfId="0" applyNumberFormat="1" applyFont="1" applyFill="1" applyBorder="1" applyAlignment="1">
      <alignment vertical="top" shrinkToFit="1"/>
    </xf>
    <xf numFmtId="2" fontId="10" fillId="25" borderId="2" xfId="0" applyNumberFormat="1" applyFont="1" applyFill="1" applyBorder="1" applyAlignment="1">
      <alignment horizontal="center" vertical="center" shrinkToFit="1"/>
    </xf>
    <xf numFmtId="2" fontId="10" fillId="25" borderId="43" xfId="0" applyNumberFormat="1" applyFont="1" applyFill="1" applyBorder="1" applyAlignment="1">
      <alignment horizontal="center" vertical="center" shrinkToFit="1"/>
    </xf>
    <xf numFmtId="0" fontId="10" fillId="25" borderId="0" xfId="0" applyNumberFormat="1" applyFont="1" applyFill="1" applyAlignment="1">
      <alignment vertical="top"/>
    </xf>
    <xf numFmtId="0" fontId="10" fillId="25" borderId="20" xfId="0" applyNumberFormat="1" applyFont="1" applyFill="1" applyBorder="1" applyAlignment="1">
      <alignment horizontal="center" vertical="top"/>
    </xf>
    <xf numFmtId="0" fontId="10" fillId="25" borderId="0" xfId="0" applyNumberFormat="1" applyFont="1" applyFill="1" applyBorder="1" applyAlignment="1">
      <alignment vertical="top"/>
    </xf>
    <xf numFmtId="0" fontId="10" fillId="25" borderId="0" xfId="0" applyNumberFormat="1" applyFont="1" applyFill="1" applyBorder="1" applyAlignment="1">
      <alignment horizontal="center" vertical="center"/>
    </xf>
    <xf numFmtId="2" fontId="10" fillId="25" borderId="13" xfId="0" applyNumberFormat="1" applyFont="1" applyFill="1" applyBorder="1" applyAlignment="1">
      <alignment horizontal="center" vertical="center" shrinkToFit="1"/>
    </xf>
    <xf numFmtId="2" fontId="10" fillId="25" borderId="0" xfId="0" applyNumberFormat="1" applyFont="1" applyFill="1" applyBorder="1" applyAlignment="1">
      <alignment vertical="top"/>
    </xf>
    <xf numFmtId="2" fontId="10" fillId="25" borderId="8" xfId="0" applyNumberFormat="1" applyFont="1" applyFill="1" applyBorder="1" applyAlignment="1">
      <alignment vertical="top"/>
    </xf>
    <xf numFmtId="2" fontId="10" fillId="25" borderId="9" xfId="0" applyNumberFormat="1" applyFont="1" applyFill="1" applyBorder="1" applyAlignment="1">
      <alignment vertical="top"/>
    </xf>
    <xf numFmtId="2" fontId="9" fillId="25" borderId="0" xfId="0" applyNumberFormat="1" applyFont="1" applyFill="1" applyBorder="1" applyAlignment="1">
      <alignment vertical="top"/>
    </xf>
    <xf numFmtId="0" fontId="10" fillId="25" borderId="0" xfId="0" applyNumberFormat="1" applyFont="1" applyFill="1" applyBorder="1" applyAlignment="1">
      <alignment horizontal="center" vertical="center" shrinkToFit="1"/>
    </xf>
    <xf numFmtId="2" fontId="10" fillId="25" borderId="0" xfId="0" applyNumberFormat="1" applyFont="1" applyFill="1" applyBorder="1" applyAlignment="1">
      <alignment horizontal="center" vertical="center"/>
    </xf>
    <xf numFmtId="2" fontId="10" fillId="25" borderId="9" xfId="0" applyNumberFormat="1" applyFont="1" applyFill="1" applyBorder="1" applyAlignment="1">
      <alignment vertical="top" shrinkToFit="1"/>
    </xf>
    <xf numFmtId="2" fontId="10" fillId="25" borderId="18" xfId="0" applyNumberFormat="1" applyFont="1" applyFill="1" applyBorder="1" applyAlignment="1">
      <alignment vertical="center" shrinkToFit="1"/>
    </xf>
    <xf numFmtId="2" fontId="10" fillId="25" borderId="0" xfId="0" applyNumberFormat="1" applyFont="1" applyFill="1" applyBorder="1" applyAlignment="1">
      <alignment vertical="top" shrinkToFit="1"/>
    </xf>
    <xf numFmtId="0" fontId="10" fillId="25" borderId="21" xfId="0" applyNumberFormat="1" applyFont="1" applyFill="1" applyBorder="1" applyAlignment="1">
      <alignment horizontal="center" vertical="top"/>
    </xf>
    <xf numFmtId="0" fontId="10" fillId="25" borderId="1" xfId="0" applyNumberFormat="1" applyFont="1" applyFill="1" applyBorder="1" applyAlignment="1">
      <alignment vertical="top"/>
    </xf>
    <xf numFmtId="0" fontId="4" fillId="25" borderId="14" xfId="0" applyNumberFormat="1" applyFont="1" applyFill="1" applyBorder="1" applyAlignment="1">
      <alignment vertical="top"/>
    </xf>
    <xf numFmtId="0" fontId="10" fillId="25" borderId="1" xfId="0" applyNumberFormat="1" applyFont="1" applyFill="1" applyBorder="1" applyAlignment="1">
      <alignment horizontal="center" vertical="center"/>
    </xf>
    <xf numFmtId="2" fontId="10" fillId="25" borderId="14" xfId="0" applyNumberFormat="1" applyFont="1" applyFill="1" applyBorder="1" applyAlignment="1">
      <alignment horizontal="center" vertical="center" shrinkToFit="1"/>
    </xf>
    <xf numFmtId="2" fontId="10" fillId="25" borderId="1" xfId="0" applyNumberFormat="1" applyFont="1" applyFill="1" applyBorder="1" applyAlignment="1">
      <alignment vertical="top"/>
    </xf>
    <xf numFmtId="2" fontId="10" fillId="25" borderId="1" xfId="0" applyNumberFormat="1" applyFont="1" applyFill="1" applyBorder="1" applyAlignment="1">
      <alignment vertical="top" shrinkToFit="1"/>
    </xf>
    <xf numFmtId="2" fontId="10" fillId="25" borderId="10" xfId="0" applyNumberFormat="1" applyFont="1" applyFill="1" applyBorder="1" applyAlignment="1">
      <alignment vertical="top"/>
    </xf>
    <xf numFmtId="2" fontId="10" fillId="25" borderId="11" xfId="0" applyNumberFormat="1" applyFont="1" applyFill="1" applyBorder="1" applyAlignment="1">
      <alignment vertical="top"/>
    </xf>
    <xf numFmtId="2" fontId="9" fillId="25" borderId="1" xfId="0" applyNumberFormat="1" applyFont="1" applyFill="1" applyBorder="1" applyAlignment="1">
      <alignment vertical="top"/>
    </xf>
    <xf numFmtId="0" fontId="10" fillId="25" borderId="1" xfId="0" applyNumberFormat="1" applyFont="1" applyFill="1" applyBorder="1" applyAlignment="1">
      <alignment horizontal="center" vertical="center" shrinkToFit="1"/>
    </xf>
    <xf numFmtId="2" fontId="10" fillId="25" borderId="1" xfId="0" applyNumberFormat="1" applyFont="1" applyFill="1" applyBorder="1" applyAlignment="1">
      <alignment horizontal="center" vertical="center"/>
    </xf>
    <xf numFmtId="2" fontId="10" fillId="25" borderId="11" xfId="0" applyNumberFormat="1" applyFont="1" applyFill="1" applyBorder="1" applyAlignment="1">
      <alignment vertical="top" shrinkToFit="1"/>
    </xf>
    <xf numFmtId="2" fontId="10" fillId="25" borderId="49" xfId="0" applyNumberFormat="1" applyFont="1" applyFill="1" applyBorder="1" applyAlignment="1">
      <alignment vertical="center" shrinkToFit="1"/>
    </xf>
    <xf numFmtId="0" fontId="5" fillId="25" borderId="50" xfId="0" applyNumberFormat="1" applyFont="1" applyFill="1" applyBorder="1" applyAlignment="1">
      <alignment horizontal="center" vertical="top"/>
    </xf>
    <xf numFmtId="0" fontId="5" fillId="25" borderId="3" xfId="0" applyNumberFormat="1" applyFont="1" applyFill="1" applyBorder="1" applyAlignment="1">
      <alignment vertical="top"/>
    </xf>
    <xf numFmtId="0" fontId="36" fillId="25" borderId="2" xfId="0" applyNumberFormat="1" applyFont="1" applyFill="1" applyBorder="1" applyAlignment="1">
      <alignment vertical="top"/>
    </xf>
    <xf numFmtId="0" fontId="5" fillId="25" borderId="3" xfId="0" applyNumberFormat="1" applyFont="1" applyFill="1" applyBorder="1" applyAlignment="1">
      <alignment horizontal="center" vertical="center"/>
    </xf>
    <xf numFmtId="2" fontId="5" fillId="25" borderId="2" xfId="0" applyNumberFormat="1" applyFont="1" applyFill="1" applyBorder="1" applyAlignment="1">
      <alignment horizontal="center" vertical="center" shrinkToFit="1"/>
    </xf>
    <xf numFmtId="2" fontId="5" fillId="25" borderId="3" xfId="0" applyNumberFormat="1" applyFont="1" applyFill="1" applyBorder="1" applyAlignment="1">
      <alignment vertical="top"/>
    </xf>
    <xf numFmtId="2" fontId="5" fillId="25" borderId="3" xfId="0" applyNumberFormat="1" applyFont="1" applyFill="1" applyBorder="1" applyAlignment="1">
      <alignment vertical="top" shrinkToFit="1"/>
    </xf>
    <xf numFmtId="2" fontId="5" fillId="25" borderId="38" xfId="0" applyNumberFormat="1" applyFont="1" applyFill="1" applyBorder="1" applyAlignment="1">
      <alignment vertical="top"/>
    </xf>
    <xf numFmtId="2" fontId="5" fillId="25" borderId="22" xfId="0" applyNumberFormat="1" applyFont="1" applyFill="1" applyBorder="1" applyAlignment="1">
      <alignment vertical="top"/>
    </xf>
    <xf numFmtId="2" fontId="36" fillId="25" borderId="3" xfId="0" applyNumberFormat="1" applyFont="1" applyFill="1" applyBorder="1" applyAlignment="1">
      <alignment vertical="top"/>
    </xf>
    <xf numFmtId="0" fontId="5" fillId="25" borderId="3" xfId="0" applyNumberFormat="1" applyFont="1" applyFill="1" applyBorder="1" applyAlignment="1">
      <alignment horizontal="center" vertical="center" shrinkToFit="1"/>
    </xf>
    <xf numFmtId="2" fontId="5" fillId="25" borderId="3" xfId="0" applyNumberFormat="1" applyFont="1" applyFill="1" applyBorder="1" applyAlignment="1">
      <alignment horizontal="center" vertical="center"/>
    </xf>
    <xf numFmtId="2" fontId="5" fillId="25" borderId="3" xfId="0" applyNumberFormat="1" applyFont="1" applyFill="1" applyBorder="1" applyAlignment="1">
      <alignment horizontal="center" vertical="center" shrinkToFit="1"/>
    </xf>
    <xf numFmtId="2" fontId="5" fillId="25" borderId="44" xfId="0" applyNumberFormat="1" applyFont="1" applyFill="1" applyBorder="1" applyAlignment="1">
      <alignment vertical="center" shrinkToFit="1"/>
    </xf>
    <xf numFmtId="2" fontId="10" fillId="25" borderId="4" xfId="4" applyNumberFormat="1" applyFont="1" applyFill="1" applyBorder="1" applyAlignment="1">
      <alignment horizontal="center" vertical="center" shrinkToFit="1"/>
    </xf>
    <xf numFmtId="49" fontId="9" fillId="25" borderId="27" xfId="4" applyNumberFormat="1" applyFont="1" applyFill="1" applyBorder="1" applyAlignment="1">
      <alignment horizontal="left" vertical="top" wrapText="1"/>
    </xf>
    <xf numFmtId="2" fontId="10" fillId="25" borderId="28" xfId="4" applyNumberFormat="1" applyFont="1" applyFill="1" applyBorder="1" applyAlignment="1">
      <alignment horizontal="center" vertical="top" shrinkToFit="1"/>
    </xf>
    <xf numFmtId="49" fontId="9" fillId="25" borderId="54" xfId="4" applyNumberFormat="1" applyFont="1" applyFill="1" applyBorder="1" applyAlignment="1">
      <alignment horizontal="left" vertical="top" wrapText="1"/>
    </xf>
    <xf numFmtId="0" fontId="10" fillId="25" borderId="55" xfId="4" applyNumberFormat="1" applyFont="1" applyFill="1" applyBorder="1" applyAlignment="1">
      <alignment horizontal="center" vertical="center" shrinkToFit="1"/>
    </xf>
    <xf numFmtId="2" fontId="10" fillId="25" borderId="55" xfId="4" applyNumberFormat="1" applyFont="1" applyFill="1" applyBorder="1" applyAlignment="1">
      <alignment horizontal="center" vertical="top" shrinkToFit="1"/>
    </xf>
    <xf numFmtId="2" fontId="10" fillId="25" borderId="55" xfId="4" applyNumberFormat="1" applyFont="1" applyFill="1" applyBorder="1" applyAlignment="1">
      <alignment vertical="top" shrinkToFit="1"/>
    </xf>
    <xf numFmtId="2" fontId="10" fillId="25" borderId="56" xfId="4" applyNumberFormat="1" applyFont="1" applyFill="1" applyBorder="1" applyAlignment="1">
      <alignment vertical="top" shrinkToFit="1"/>
    </xf>
    <xf numFmtId="49" fontId="9" fillId="25" borderId="51" xfId="4" applyNumberFormat="1" applyFont="1" applyFill="1" applyBorder="1" applyAlignment="1">
      <alignment horizontal="left" vertical="top" wrapText="1"/>
    </xf>
    <xf numFmtId="0" fontId="10" fillId="25" borderId="52" xfId="4" applyNumberFormat="1" applyFont="1" applyFill="1" applyBorder="1" applyAlignment="1">
      <alignment horizontal="center" vertical="center" shrinkToFit="1"/>
    </xf>
    <xf numFmtId="2" fontId="10" fillId="25" borderId="52" xfId="4" applyNumberFormat="1" applyFont="1" applyFill="1" applyBorder="1" applyAlignment="1">
      <alignment horizontal="center" vertical="top" shrinkToFit="1"/>
    </xf>
    <xf numFmtId="2" fontId="10" fillId="25" borderId="52" xfId="4" applyNumberFormat="1" applyFont="1" applyFill="1" applyBorder="1" applyAlignment="1">
      <alignment vertical="top" shrinkToFit="1"/>
    </xf>
    <xf numFmtId="2" fontId="10" fillId="25" borderId="1" xfId="4" applyNumberFormat="1" applyFont="1" applyFill="1" applyBorder="1" applyAlignment="1">
      <alignment horizontal="center" vertical="top"/>
    </xf>
    <xf numFmtId="2" fontId="10" fillId="25" borderId="1" xfId="4" applyNumberFormat="1" applyFont="1" applyFill="1" applyBorder="1" applyAlignment="1">
      <alignment horizontal="center" vertical="top" shrinkToFit="1"/>
    </xf>
    <xf numFmtId="2" fontId="9" fillId="25" borderId="38" xfId="4" applyNumberFormat="1" applyFont="1" applyFill="1" applyBorder="1" applyAlignment="1">
      <alignment vertical="top"/>
    </xf>
    <xf numFmtId="2" fontId="10" fillId="25" borderId="3" xfId="4" applyNumberFormat="1" applyFont="1" applyFill="1" applyBorder="1" applyAlignment="1">
      <alignment horizontal="center" vertical="top"/>
    </xf>
    <xf numFmtId="2" fontId="10" fillId="25" borderId="3" xfId="4" applyNumberFormat="1" applyFont="1" applyFill="1" applyBorder="1" applyAlignment="1">
      <alignment horizontal="center" vertical="top" shrinkToFit="1"/>
    </xf>
    <xf numFmtId="49" fontId="9" fillId="25" borderId="34" xfId="4" applyNumberFormat="1" applyFont="1" applyFill="1" applyBorder="1" applyAlignment="1">
      <alignment horizontal="left" vertical="top" wrapText="1"/>
    </xf>
    <xf numFmtId="0" fontId="10" fillId="25" borderId="35" xfId="4" applyNumberFormat="1" applyFont="1" applyFill="1" applyBorder="1" applyAlignment="1">
      <alignment horizontal="center" vertical="center" shrinkToFit="1"/>
    </xf>
    <xf numFmtId="2" fontId="10" fillId="25" borderId="35" xfId="4" applyNumberFormat="1" applyFont="1" applyFill="1" applyBorder="1" applyAlignment="1">
      <alignment horizontal="center" vertical="top" shrinkToFit="1"/>
    </xf>
    <xf numFmtId="2" fontId="10" fillId="25" borderId="33" xfId="4" applyNumberFormat="1" applyFont="1" applyFill="1" applyBorder="1" applyAlignment="1">
      <alignment vertical="top" shrinkToFit="1"/>
    </xf>
    <xf numFmtId="2" fontId="10" fillId="25" borderId="37" xfId="4" applyNumberFormat="1" applyFont="1" applyFill="1" applyBorder="1" applyAlignment="1">
      <alignment vertical="top" shrinkToFit="1"/>
    </xf>
    <xf numFmtId="0" fontId="10" fillId="25" borderId="35" xfId="4" applyNumberFormat="1" applyFont="1" applyFill="1" applyBorder="1" applyAlignment="1">
      <alignment horizontal="center" vertical="top" shrinkToFit="1"/>
    </xf>
    <xf numFmtId="2" fontId="10" fillId="25" borderId="3" xfId="4" applyNumberFormat="1" applyFont="1" applyFill="1" applyBorder="1" applyAlignment="1">
      <alignment horizontal="center" vertical="center" shrinkToFit="1"/>
    </xf>
    <xf numFmtId="2" fontId="10" fillId="25" borderId="35" xfId="4" applyNumberFormat="1" applyFont="1" applyFill="1" applyBorder="1" applyAlignment="1">
      <alignment horizontal="center" vertical="center" shrinkToFit="1"/>
    </xf>
    <xf numFmtId="2" fontId="10" fillId="25" borderId="1" xfId="4" applyNumberFormat="1" applyFont="1" applyFill="1" applyBorder="1" applyAlignment="1">
      <alignment horizontal="center" vertical="center" shrinkToFit="1"/>
    </xf>
    <xf numFmtId="165" fontId="10" fillId="25" borderId="0" xfId="0" applyNumberFormat="1" applyFont="1" applyFill="1" applyAlignment="1">
      <alignment vertical="top"/>
    </xf>
    <xf numFmtId="0" fontId="10" fillId="25" borderId="20" xfId="0" applyNumberFormat="1" applyFont="1" applyFill="1" applyBorder="1" applyAlignment="1">
      <alignment horizontal="center" vertical="top" shrinkToFit="1"/>
    </xf>
    <xf numFmtId="49" fontId="10" fillId="25" borderId="0" xfId="0" applyNumberFormat="1" applyFont="1" applyFill="1" applyAlignment="1">
      <alignment horizontal="center" vertical="top" wrapText="1"/>
    </xf>
    <xf numFmtId="0" fontId="10" fillId="25" borderId="0" xfId="0" applyNumberFormat="1" applyFont="1" applyFill="1" applyAlignment="1">
      <alignment horizontal="center" vertical="center"/>
    </xf>
    <xf numFmtId="2" fontId="10" fillId="25" borderId="0" xfId="0" applyNumberFormat="1" applyFont="1" applyFill="1" applyAlignment="1">
      <alignment vertical="top"/>
    </xf>
    <xf numFmtId="2" fontId="10" fillId="25" borderId="18" xfId="0" applyNumberFormat="1" applyFont="1" applyFill="1" applyBorder="1" applyAlignment="1">
      <alignment horizontal="center" vertical="center" shrinkToFit="1"/>
    </xf>
    <xf numFmtId="2" fontId="9" fillId="25" borderId="0" xfId="0" applyNumberFormat="1" applyFont="1" applyFill="1" applyAlignment="1">
      <alignment vertical="top"/>
    </xf>
    <xf numFmtId="0" fontId="10" fillId="25" borderId="0" xfId="0" applyNumberFormat="1" applyFont="1" applyFill="1" applyAlignment="1">
      <alignment horizontal="center" vertical="center" shrinkToFit="1"/>
    </xf>
    <xf numFmtId="2" fontId="10" fillId="25" borderId="0" xfId="0" applyNumberFormat="1" applyFont="1" applyFill="1" applyAlignment="1">
      <alignment horizontal="center" vertical="center"/>
    </xf>
    <xf numFmtId="2" fontId="10" fillId="25" borderId="0" xfId="0" applyNumberFormat="1" applyFont="1" applyFill="1" applyAlignment="1">
      <alignment vertical="top" shrinkToFit="1"/>
    </xf>
    <xf numFmtId="0" fontId="4" fillId="25" borderId="13" xfId="0" applyNumberFormat="1" applyFont="1" applyFill="1" applyBorder="1" applyAlignment="1">
      <alignment vertical="top"/>
    </xf>
    <xf numFmtId="0" fontId="10" fillId="25" borderId="58" xfId="4" applyNumberFormat="1" applyFont="1" applyFill="1" applyBorder="1" applyAlignment="1">
      <alignment horizontal="center" vertical="center" shrinkToFit="1"/>
    </xf>
    <xf numFmtId="2" fontId="10" fillId="25" borderId="58" xfId="4" applyNumberFormat="1" applyFont="1" applyFill="1" applyBorder="1" applyAlignment="1">
      <alignment horizontal="center" vertical="top"/>
    </xf>
    <xf numFmtId="2" fontId="10" fillId="25" borderId="58" xfId="4" applyNumberFormat="1" applyFont="1" applyFill="1" applyBorder="1" applyAlignment="1">
      <alignment horizontal="center" vertical="top" shrinkToFit="1"/>
    </xf>
    <xf numFmtId="2" fontId="10" fillId="25" borderId="58" xfId="4" applyNumberFormat="1" applyFont="1" applyFill="1" applyBorder="1" applyAlignment="1">
      <alignment vertical="top"/>
    </xf>
    <xf numFmtId="2" fontId="10" fillId="25" borderId="59" xfId="4" applyNumberFormat="1" applyFont="1" applyFill="1" applyBorder="1" applyAlignment="1">
      <alignment vertical="top" shrinkToFit="1"/>
    </xf>
    <xf numFmtId="0" fontId="10" fillId="25" borderId="28" xfId="4" applyNumberFormat="1" applyFont="1" applyFill="1" applyBorder="1" applyAlignment="1">
      <alignment horizontal="center" vertical="top" shrinkToFit="1"/>
    </xf>
    <xf numFmtId="0" fontId="10" fillId="25" borderId="58" xfId="4" applyNumberFormat="1" applyFont="1" applyFill="1" applyBorder="1" applyAlignment="1">
      <alignment horizontal="center" vertical="top" shrinkToFit="1"/>
    </xf>
    <xf numFmtId="0" fontId="10" fillId="25" borderId="40" xfId="5" applyNumberFormat="1" applyFont="1" applyFill="1" applyBorder="1" applyAlignment="1">
      <alignment horizontal="center" vertical="top" shrinkToFit="1"/>
    </xf>
    <xf numFmtId="49" fontId="10" fillId="25" borderId="0" xfId="5" applyNumberFormat="1" applyFont="1" applyFill="1" applyAlignment="1">
      <alignment horizontal="center" vertical="top" wrapText="1"/>
    </xf>
    <xf numFmtId="0" fontId="10" fillId="25" borderId="0" xfId="5" applyNumberFormat="1" applyFont="1" applyFill="1" applyAlignment="1">
      <alignment horizontal="center" vertical="center"/>
    </xf>
    <xf numFmtId="167" fontId="10" fillId="25" borderId="12" xfId="5" applyNumberFormat="1" applyFont="1" applyFill="1" applyBorder="1" applyAlignment="1">
      <alignment horizontal="center" vertical="center" shrinkToFit="1"/>
    </xf>
    <xf numFmtId="2" fontId="10" fillId="25" borderId="0" xfId="5" applyNumberFormat="1" applyFont="1" applyFill="1" applyAlignment="1">
      <alignment vertical="top"/>
    </xf>
    <xf numFmtId="2" fontId="10" fillId="25" borderId="0" xfId="5" applyNumberFormat="1" applyFont="1" applyFill="1" applyAlignment="1">
      <alignment vertical="top" shrinkToFit="1"/>
    </xf>
    <xf numFmtId="2" fontId="10" fillId="25" borderId="23" xfId="5" applyNumberFormat="1" applyFont="1" applyFill="1" applyBorder="1" applyAlignment="1">
      <alignment vertical="top"/>
    </xf>
    <xf numFmtId="2" fontId="10" fillId="25" borderId="4" xfId="5" applyNumberFormat="1" applyFont="1" applyFill="1" applyBorder="1" applyAlignment="1">
      <alignment vertical="top" shrinkToFit="1"/>
    </xf>
    <xf numFmtId="2" fontId="10" fillId="25" borderId="29" xfId="5" applyNumberFormat="1" applyFont="1" applyFill="1" applyBorder="1" applyAlignment="1">
      <alignment vertical="top"/>
    </xf>
    <xf numFmtId="2" fontId="9" fillId="25" borderId="3" xfId="5" applyNumberFormat="1" applyFont="1" applyFill="1" applyBorder="1" applyAlignment="1">
      <alignment vertical="top"/>
    </xf>
    <xf numFmtId="0" fontId="10" fillId="25" borderId="3" xfId="5" applyNumberFormat="1" applyFont="1" applyFill="1" applyBorder="1" applyAlignment="1">
      <alignment horizontal="center" vertical="center" shrinkToFit="1"/>
    </xf>
    <xf numFmtId="2" fontId="10" fillId="25" borderId="3" xfId="5" applyNumberFormat="1" applyFont="1" applyFill="1" applyBorder="1" applyAlignment="1">
      <alignment horizontal="center" vertical="center"/>
    </xf>
    <xf numFmtId="2" fontId="10" fillId="25" borderId="3" xfId="5" applyNumberFormat="1" applyFont="1" applyFill="1" applyBorder="1" applyAlignment="1">
      <alignment vertical="top"/>
    </xf>
    <xf numFmtId="2" fontId="10" fillId="25" borderId="22" xfId="5" applyNumberFormat="1" applyFont="1" applyFill="1" applyBorder="1" applyAlignment="1">
      <alignment vertical="top" shrinkToFit="1"/>
    </xf>
    <xf numFmtId="2" fontId="10" fillId="25" borderId="2" xfId="5" applyNumberFormat="1" applyFont="1" applyFill="1" applyBorder="1" applyAlignment="1">
      <alignment horizontal="center" vertical="center" shrinkToFit="1"/>
    </xf>
    <xf numFmtId="2" fontId="10" fillId="25" borderId="43" xfId="5" applyNumberFormat="1" applyFont="1" applyFill="1" applyBorder="1" applyAlignment="1">
      <alignment horizontal="center" vertical="center" shrinkToFit="1"/>
    </xf>
    <xf numFmtId="0" fontId="10" fillId="25" borderId="0" xfId="5" applyNumberFormat="1" applyFont="1" applyFill="1" applyAlignment="1">
      <alignment vertical="top"/>
    </xf>
    <xf numFmtId="0" fontId="10" fillId="25" borderId="20" xfId="5" applyNumberFormat="1" applyFont="1" applyFill="1" applyBorder="1" applyAlignment="1">
      <alignment horizontal="center" vertical="top"/>
    </xf>
    <xf numFmtId="2" fontId="10" fillId="25" borderId="13" xfId="5" applyNumberFormat="1" applyFont="1" applyFill="1" applyBorder="1" applyAlignment="1">
      <alignment horizontal="center" vertical="center" shrinkToFit="1"/>
    </xf>
    <xf numFmtId="2" fontId="10" fillId="25" borderId="8" xfId="5" applyNumberFormat="1" applyFont="1" applyFill="1" applyBorder="1" applyAlignment="1">
      <alignment vertical="top"/>
    </xf>
    <xf numFmtId="2" fontId="10" fillId="25" borderId="9" xfId="5" applyNumberFormat="1" applyFont="1" applyFill="1" applyBorder="1" applyAlignment="1">
      <alignment vertical="top"/>
    </xf>
    <xf numFmtId="2" fontId="9" fillId="25" borderId="0" xfId="5" applyNumberFormat="1" applyFont="1" applyFill="1" applyAlignment="1">
      <alignment vertical="top"/>
    </xf>
    <xf numFmtId="0" fontId="10" fillId="25" borderId="0" xfId="5" applyNumberFormat="1" applyFont="1" applyFill="1" applyAlignment="1">
      <alignment horizontal="center" vertical="center" shrinkToFit="1"/>
    </xf>
    <xf numFmtId="2" fontId="10" fillId="25" borderId="0" xfId="5" applyNumberFormat="1" applyFont="1" applyFill="1" applyAlignment="1">
      <alignment horizontal="center" vertical="center"/>
    </xf>
    <xf numFmtId="2" fontId="10" fillId="25" borderId="9" xfId="5" applyNumberFormat="1" applyFont="1" applyFill="1" applyBorder="1" applyAlignment="1">
      <alignment vertical="top" shrinkToFit="1"/>
    </xf>
    <xf numFmtId="2" fontId="10" fillId="25" borderId="18" xfId="5" applyNumberFormat="1" applyFont="1" applyFill="1" applyBorder="1" applyAlignment="1">
      <alignment vertical="center" shrinkToFit="1"/>
    </xf>
    <xf numFmtId="0" fontId="10" fillId="25" borderId="21" xfId="5" applyNumberFormat="1" applyFont="1" applyFill="1" applyBorder="1" applyAlignment="1">
      <alignment horizontal="center" vertical="top"/>
    </xf>
    <xf numFmtId="0" fontId="10" fillId="25" borderId="1" xfId="5" applyNumberFormat="1" applyFont="1" applyFill="1" applyBorder="1" applyAlignment="1">
      <alignment vertical="top"/>
    </xf>
    <xf numFmtId="0" fontId="4" fillId="25" borderId="14" xfId="5" applyNumberFormat="1" applyFont="1" applyFill="1" applyBorder="1" applyAlignment="1">
      <alignment vertical="top"/>
    </xf>
    <xf numFmtId="0" fontId="10" fillId="25" borderId="1" xfId="5" applyNumberFormat="1" applyFont="1" applyFill="1" applyBorder="1" applyAlignment="1">
      <alignment horizontal="center" vertical="center"/>
    </xf>
    <xf numFmtId="2" fontId="10" fillId="25" borderId="14" xfId="5" applyNumberFormat="1" applyFont="1" applyFill="1" applyBorder="1" applyAlignment="1">
      <alignment horizontal="center" vertical="center" shrinkToFit="1"/>
    </xf>
    <xf numFmtId="2" fontId="10" fillId="25" borderId="1" xfId="5" applyNumberFormat="1" applyFont="1" applyFill="1" applyBorder="1" applyAlignment="1">
      <alignment vertical="top"/>
    </xf>
    <xf numFmtId="2" fontId="10" fillId="25" borderId="1" xfId="5" applyNumberFormat="1" applyFont="1" applyFill="1" applyBorder="1" applyAlignment="1">
      <alignment vertical="top" shrinkToFit="1"/>
    </xf>
    <xf numFmtId="2" fontId="10" fillId="25" borderId="10" xfId="5" applyNumberFormat="1" applyFont="1" applyFill="1" applyBorder="1" applyAlignment="1">
      <alignment vertical="top"/>
    </xf>
    <xf numFmtId="2" fontId="10" fillId="25" borderId="11" xfId="5" applyNumberFormat="1" applyFont="1" applyFill="1" applyBorder="1" applyAlignment="1">
      <alignment vertical="top"/>
    </xf>
    <xf numFmtId="2" fontId="9" fillId="25" borderId="0" xfId="5" applyNumberFormat="1" applyFont="1" applyFill="1" applyBorder="1" applyAlignment="1">
      <alignment vertical="top"/>
    </xf>
    <xf numFmtId="0" fontId="10" fillId="25" borderId="0" xfId="5" applyNumberFormat="1" applyFont="1" applyFill="1" applyBorder="1" applyAlignment="1">
      <alignment horizontal="center" vertical="center" shrinkToFit="1"/>
    </xf>
    <xf numFmtId="2" fontId="10" fillId="25" borderId="0" xfId="5" applyNumberFormat="1" applyFont="1" applyFill="1" applyBorder="1" applyAlignment="1">
      <alignment horizontal="center" vertical="center"/>
    </xf>
    <xf numFmtId="2" fontId="10" fillId="25" borderId="0" xfId="5" applyNumberFormat="1" applyFont="1" applyFill="1" applyBorder="1" applyAlignment="1">
      <alignment vertical="top"/>
    </xf>
    <xf numFmtId="49" fontId="10" fillId="25" borderId="4" xfId="5" applyNumberFormat="1" applyFont="1" applyFill="1" applyBorder="1" applyAlignment="1">
      <alignment horizontal="center" vertical="top" wrapText="1"/>
    </xf>
    <xf numFmtId="0" fontId="10" fillId="25" borderId="4" xfId="5" applyNumberFormat="1" applyFont="1" applyFill="1" applyBorder="1" applyAlignment="1">
      <alignment horizontal="center" vertical="center"/>
    </xf>
    <xf numFmtId="164" fontId="10" fillId="25" borderId="12" xfId="5" applyNumberFormat="1" applyFont="1" applyFill="1" applyBorder="1" applyAlignment="1">
      <alignment horizontal="center" vertical="center" shrinkToFit="1"/>
    </xf>
    <xf numFmtId="2" fontId="10" fillId="25" borderId="4" xfId="5" applyNumberFormat="1" applyFont="1" applyFill="1" applyBorder="1" applyAlignment="1">
      <alignment vertical="top"/>
    </xf>
    <xf numFmtId="2" fontId="9" fillId="25" borderId="38" xfId="5" applyNumberFormat="1" applyFont="1" applyFill="1" applyBorder="1" applyAlignment="1">
      <alignment vertical="top"/>
    </xf>
    <xf numFmtId="2" fontId="10" fillId="25" borderId="3" xfId="5" applyNumberFormat="1" applyFont="1" applyFill="1" applyBorder="1" applyAlignment="1">
      <alignment horizontal="center" vertical="top"/>
    </xf>
    <xf numFmtId="2" fontId="10" fillId="25" borderId="3" xfId="5" applyNumberFormat="1" applyFont="1" applyFill="1" applyBorder="1" applyAlignment="1">
      <alignment horizontal="center" vertical="top" shrinkToFit="1"/>
    </xf>
    <xf numFmtId="49" fontId="10" fillId="25" borderId="0" xfId="5" applyNumberFormat="1" applyFont="1" applyFill="1" applyBorder="1" applyAlignment="1">
      <alignment horizontal="center" vertical="top" wrapText="1"/>
    </xf>
    <xf numFmtId="0" fontId="10" fillId="25" borderId="0" xfId="5" applyNumberFormat="1" applyFont="1" applyFill="1" applyBorder="1" applyAlignment="1">
      <alignment horizontal="center" vertical="center"/>
    </xf>
    <xf numFmtId="49" fontId="9" fillId="25" borderId="34" xfId="5" applyNumberFormat="1" applyFont="1" applyFill="1" applyBorder="1" applyAlignment="1">
      <alignment horizontal="left" vertical="top" wrapText="1"/>
    </xf>
    <xf numFmtId="0" fontId="10" fillId="25" borderId="35" xfId="5" applyNumberFormat="1" applyFont="1" applyFill="1" applyBorder="1" applyAlignment="1">
      <alignment horizontal="center" vertical="center" shrinkToFit="1"/>
    </xf>
    <xf numFmtId="2" fontId="10" fillId="25" borderId="35" xfId="5" applyNumberFormat="1" applyFont="1" applyFill="1" applyBorder="1" applyAlignment="1">
      <alignment horizontal="center" vertical="top" shrinkToFit="1"/>
    </xf>
    <xf numFmtId="2" fontId="10" fillId="25" borderId="33" xfId="5" applyNumberFormat="1" applyFont="1" applyFill="1" applyBorder="1" applyAlignment="1">
      <alignment vertical="top" shrinkToFit="1"/>
    </xf>
    <xf numFmtId="2" fontId="10" fillId="25" borderId="37" xfId="5" applyNumberFormat="1" applyFont="1" applyFill="1" applyBorder="1" applyAlignment="1">
      <alignment vertical="top" shrinkToFit="1"/>
    </xf>
    <xf numFmtId="2" fontId="9" fillId="25" borderId="1" xfId="5" applyNumberFormat="1" applyFont="1" applyFill="1" applyBorder="1" applyAlignment="1">
      <alignment vertical="top"/>
    </xf>
    <xf numFmtId="0" fontId="10" fillId="25" borderId="1" xfId="5" applyNumberFormat="1" applyFont="1" applyFill="1" applyBorder="1" applyAlignment="1">
      <alignment horizontal="center" vertical="center" shrinkToFit="1"/>
    </xf>
    <xf numFmtId="2" fontId="10" fillId="25" borderId="1" xfId="5" applyNumberFormat="1" applyFont="1" applyFill="1" applyBorder="1" applyAlignment="1">
      <alignment horizontal="center" vertical="top"/>
    </xf>
    <xf numFmtId="2" fontId="10" fillId="25" borderId="1" xfId="5" applyNumberFormat="1" applyFont="1" applyFill="1" applyBorder="1" applyAlignment="1">
      <alignment horizontal="center" vertical="top" shrinkToFit="1"/>
    </xf>
    <xf numFmtId="2" fontId="10" fillId="25" borderId="11" xfId="5" applyNumberFormat="1" applyFont="1" applyFill="1" applyBorder="1" applyAlignment="1">
      <alignment vertical="top" shrinkToFit="1"/>
    </xf>
    <xf numFmtId="2" fontId="10" fillId="25" borderId="49" xfId="5" applyNumberFormat="1" applyFont="1" applyFill="1" applyBorder="1" applyAlignment="1">
      <alignment vertical="center" shrinkToFit="1"/>
    </xf>
    <xf numFmtId="0" fontId="10" fillId="25" borderId="20" xfId="5" applyNumberFormat="1" applyFont="1" applyFill="1" applyBorder="1" applyAlignment="1">
      <alignment horizontal="center" vertical="top" shrinkToFit="1"/>
    </xf>
    <xf numFmtId="2" fontId="10" fillId="25" borderId="12" xfId="5" applyNumberFormat="1" applyFont="1" applyFill="1" applyBorder="1" applyAlignment="1">
      <alignment horizontal="center" vertical="center" shrinkToFit="1"/>
    </xf>
    <xf numFmtId="2" fontId="9" fillId="25" borderId="4" xfId="5" applyNumberFormat="1" applyFont="1" applyFill="1" applyBorder="1" applyAlignment="1">
      <alignment vertical="top"/>
    </xf>
    <xf numFmtId="0" fontId="10" fillId="25" borderId="4" xfId="5" applyNumberFormat="1" applyFont="1" applyFill="1" applyBorder="1" applyAlignment="1">
      <alignment horizontal="center" vertical="center" shrinkToFit="1"/>
    </xf>
    <xf numFmtId="2" fontId="10" fillId="25" borderId="4" xfId="5" applyNumberFormat="1" applyFont="1" applyFill="1" applyBorder="1" applyAlignment="1">
      <alignment horizontal="center" vertical="center"/>
    </xf>
    <xf numFmtId="2" fontId="10" fillId="25" borderId="29" xfId="5" applyNumberFormat="1" applyFont="1" applyFill="1" applyBorder="1" applyAlignment="1">
      <alignment vertical="top" shrinkToFit="1"/>
    </xf>
    <xf numFmtId="49" fontId="9" fillId="25" borderId="27" xfId="5" applyNumberFormat="1" applyFont="1" applyFill="1" applyBorder="1" applyAlignment="1">
      <alignment horizontal="left" vertical="top" wrapText="1"/>
    </xf>
    <xf numFmtId="0" fontId="10" fillId="25" borderId="28" xfId="5" applyNumberFormat="1" applyFont="1" applyFill="1" applyBorder="1" applyAlignment="1">
      <alignment horizontal="center" vertical="center" shrinkToFit="1"/>
    </xf>
    <xf numFmtId="2" fontId="10" fillId="25" borderId="28" xfId="5" applyNumberFormat="1" applyFont="1" applyFill="1" applyBorder="1" applyAlignment="1">
      <alignment horizontal="center" vertical="center" shrinkToFit="1"/>
    </xf>
    <xf numFmtId="2" fontId="10" fillId="25" borderId="28" xfId="5" applyNumberFormat="1" applyFont="1" applyFill="1" applyBorder="1" applyAlignment="1">
      <alignment horizontal="center" vertical="center"/>
    </xf>
    <xf numFmtId="2" fontId="10" fillId="25" borderId="28" xfId="5" applyNumberFormat="1" applyFont="1" applyFill="1" applyBorder="1" applyAlignment="1">
      <alignment vertical="top" shrinkToFit="1"/>
    </xf>
    <xf numFmtId="2" fontId="10" fillId="25" borderId="30" xfId="5" applyNumberFormat="1" applyFont="1" applyFill="1" applyBorder="1" applyAlignment="1">
      <alignment vertical="top" shrinkToFit="1"/>
    </xf>
    <xf numFmtId="0" fontId="10" fillId="25" borderId="0" xfId="5" applyNumberFormat="1" applyFont="1" applyFill="1" applyBorder="1" applyAlignment="1">
      <alignment vertical="top"/>
    </xf>
    <xf numFmtId="2" fontId="10" fillId="25" borderId="0" xfId="5" applyNumberFormat="1" applyFont="1" applyFill="1" applyBorder="1" applyAlignment="1">
      <alignment vertical="top" shrinkToFit="1"/>
    </xf>
    <xf numFmtId="49" fontId="9" fillId="25" borderId="54" xfId="5" applyNumberFormat="1" applyFont="1" applyFill="1" applyBorder="1" applyAlignment="1">
      <alignment horizontal="left" vertical="top" wrapText="1"/>
    </xf>
    <xf numFmtId="0" fontId="10" fillId="25" borderId="55" xfId="5" applyNumberFormat="1" applyFont="1" applyFill="1" applyBorder="1" applyAlignment="1">
      <alignment horizontal="center" vertical="center" shrinkToFit="1"/>
    </xf>
    <xf numFmtId="2" fontId="10" fillId="25" borderId="55" xfId="5" applyNumberFormat="1" applyFont="1" applyFill="1" applyBorder="1" applyAlignment="1">
      <alignment horizontal="center" vertical="center" shrinkToFit="1"/>
    </xf>
    <xf numFmtId="2" fontId="10" fillId="25" borderId="55" xfId="5" applyNumberFormat="1" applyFont="1" applyFill="1" applyBorder="1" applyAlignment="1">
      <alignment horizontal="center" vertical="center"/>
    </xf>
    <xf numFmtId="2" fontId="10" fillId="25" borderId="55" xfId="5" applyNumberFormat="1" applyFont="1" applyFill="1" applyBorder="1" applyAlignment="1">
      <alignment vertical="top" shrinkToFit="1"/>
    </xf>
    <xf numFmtId="2" fontId="10" fillId="25" borderId="56" xfId="5" applyNumberFormat="1" applyFont="1" applyFill="1" applyBorder="1" applyAlignment="1">
      <alignment vertical="top" shrinkToFit="1"/>
    </xf>
    <xf numFmtId="49" fontId="9" fillId="25" borderId="51" xfId="5" applyNumberFormat="1" applyFont="1" applyFill="1" applyBorder="1" applyAlignment="1">
      <alignment horizontal="left" vertical="top" wrapText="1"/>
    </xf>
    <xf numFmtId="0" fontId="10" fillId="25" borderId="52" xfId="5" applyNumberFormat="1" applyFont="1" applyFill="1" applyBorder="1" applyAlignment="1">
      <alignment horizontal="center" vertical="center" shrinkToFit="1"/>
    </xf>
    <xf numFmtId="167" fontId="10" fillId="25" borderId="52" xfId="5" applyNumberFormat="1" applyFont="1" applyFill="1" applyBorder="1" applyAlignment="1">
      <alignment horizontal="center" vertical="center" shrinkToFit="1"/>
    </xf>
    <xf numFmtId="2" fontId="10" fillId="25" borderId="52" xfId="5" applyNumberFormat="1" applyFont="1" applyFill="1" applyBorder="1" applyAlignment="1">
      <alignment horizontal="center" vertical="center"/>
    </xf>
    <xf numFmtId="2" fontId="10" fillId="25" borderId="52" xfId="5" applyNumberFormat="1" applyFont="1" applyFill="1" applyBorder="1" applyAlignment="1">
      <alignment vertical="top" shrinkToFit="1"/>
    </xf>
    <xf numFmtId="2" fontId="10" fillId="25" borderId="53" xfId="5" applyNumberFormat="1" applyFont="1" applyFill="1" applyBorder="1" applyAlignment="1">
      <alignment vertical="top" shrinkToFit="1"/>
    </xf>
    <xf numFmtId="2" fontId="10" fillId="25" borderId="1" xfId="5" applyNumberFormat="1" applyFont="1" applyFill="1" applyBorder="1" applyAlignment="1">
      <alignment horizontal="center" vertical="center"/>
    </xf>
    <xf numFmtId="49" fontId="10" fillId="25" borderId="13" xfId="5" applyNumberFormat="1" applyFont="1" applyFill="1" applyBorder="1" applyAlignment="1">
      <alignment horizontal="left" vertical="top" wrapText="1"/>
    </xf>
    <xf numFmtId="166" fontId="10" fillId="25" borderId="52" xfId="5" applyNumberFormat="1" applyFont="1" applyFill="1" applyBorder="1" applyAlignment="1">
      <alignment horizontal="center" vertical="center" shrinkToFit="1"/>
    </xf>
    <xf numFmtId="2" fontId="10" fillId="25" borderId="18" xfId="5" applyNumberFormat="1" applyFont="1" applyFill="1" applyBorder="1" applyAlignment="1">
      <alignment horizontal="center" vertical="center" shrinkToFit="1"/>
    </xf>
    <xf numFmtId="2" fontId="10" fillId="25" borderId="4" xfId="5" applyNumberFormat="1" applyFont="1" applyFill="1" applyBorder="1" applyAlignment="1">
      <alignment horizontal="center" vertical="center" shrinkToFit="1"/>
    </xf>
    <xf numFmtId="2" fontId="10" fillId="25" borderId="28" xfId="5" applyNumberFormat="1" applyFont="1" applyFill="1" applyBorder="1" applyAlignment="1">
      <alignment horizontal="center" vertical="top" shrinkToFit="1"/>
    </xf>
    <xf numFmtId="2" fontId="10" fillId="25" borderId="36" xfId="5" applyNumberFormat="1" applyFont="1" applyFill="1" applyBorder="1" applyAlignment="1">
      <alignment vertical="top" shrinkToFit="1"/>
    </xf>
    <xf numFmtId="2" fontId="10" fillId="25" borderId="52" xfId="5" applyNumberFormat="1" applyFont="1" applyFill="1" applyBorder="1" applyAlignment="1">
      <alignment horizontal="center" vertical="top" shrinkToFit="1"/>
    </xf>
    <xf numFmtId="164" fontId="10" fillId="25" borderId="13" xfId="5" applyNumberFormat="1" applyFont="1" applyFill="1" applyBorder="1" applyAlignment="1">
      <alignment horizontal="center" vertical="center" shrinkToFit="1"/>
    </xf>
    <xf numFmtId="164" fontId="10" fillId="25" borderId="12" xfId="0" applyNumberFormat="1" applyFont="1" applyFill="1" applyBorder="1" applyAlignment="1">
      <alignment horizontal="center" vertical="center" shrinkToFit="1"/>
    </xf>
    <xf numFmtId="2" fontId="9" fillId="25" borderId="4" xfId="0" applyNumberFormat="1" applyFont="1" applyFill="1" applyBorder="1" applyAlignment="1">
      <alignment vertical="top"/>
    </xf>
    <xf numFmtId="0" fontId="10" fillId="25" borderId="4" xfId="0" applyNumberFormat="1" applyFont="1" applyFill="1" applyBorder="1" applyAlignment="1">
      <alignment horizontal="center" vertical="center" shrinkToFit="1"/>
    </xf>
    <xf numFmtId="2" fontId="10" fillId="25" borderId="4" xfId="0" applyNumberFormat="1" applyFont="1" applyFill="1" applyBorder="1" applyAlignment="1">
      <alignment horizontal="center" vertical="center"/>
    </xf>
    <xf numFmtId="2" fontId="10" fillId="25" borderId="4" xfId="0" applyNumberFormat="1" applyFont="1" applyFill="1" applyBorder="1" applyAlignment="1">
      <alignment horizontal="center" vertical="center" shrinkToFit="1"/>
    </xf>
    <xf numFmtId="49" fontId="10" fillId="25" borderId="0" xfId="0" applyNumberFormat="1" applyFont="1" applyFill="1" applyBorder="1" applyAlignment="1">
      <alignment horizontal="center" vertical="top" wrapText="1"/>
    </xf>
    <xf numFmtId="49" fontId="9" fillId="25" borderId="27" xfId="0" applyNumberFormat="1" applyFont="1" applyFill="1" applyBorder="1" applyAlignment="1">
      <alignment horizontal="left" vertical="top" wrapText="1"/>
    </xf>
    <xf numFmtId="0" fontId="10" fillId="25" borderId="28" xfId="0" applyNumberFormat="1" applyFont="1" applyFill="1" applyBorder="1" applyAlignment="1">
      <alignment horizontal="center" vertical="top" shrinkToFit="1"/>
    </xf>
    <xf numFmtId="2" fontId="10" fillId="25" borderId="28" xfId="0" applyNumberFormat="1" applyFont="1" applyFill="1" applyBorder="1" applyAlignment="1">
      <alignment horizontal="center" vertical="top" shrinkToFit="1"/>
    </xf>
    <xf numFmtId="2" fontId="10" fillId="25" borderId="28" xfId="0" applyNumberFormat="1" applyFont="1" applyFill="1" applyBorder="1" applyAlignment="1">
      <alignment vertical="top" shrinkToFit="1"/>
    </xf>
    <xf numFmtId="2" fontId="10" fillId="25" borderId="1" xfId="0" applyNumberFormat="1" applyFont="1" applyFill="1" applyBorder="1" applyAlignment="1">
      <alignment horizontal="center" vertical="center" shrinkToFit="1"/>
    </xf>
    <xf numFmtId="0" fontId="10" fillId="25" borderId="28" xfId="0" applyNumberFormat="1" applyFont="1" applyFill="1" applyBorder="1" applyAlignment="1">
      <alignment horizontal="center" vertical="center" shrinkToFit="1"/>
    </xf>
    <xf numFmtId="2" fontId="10" fillId="25" borderId="28" xfId="0" applyNumberFormat="1" applyFont="1" applyFill="1" applyBorder="1" applyAlignment="1">
      <alignment horizontal="center" vertical="center" shrinkToFit="1"/>
    </xf>
    <xf numFmtId="49" fontId="9" fillId="25" borderId="51" xfId="0" applyNumberFormat="1" applyFont="1" applyFill="1" applyBorder="1" applyAlignment="1">
      <alignment horizontal="left" vertical="top" wrapText="1"/>
    </xf>
    <xf numFmtId="0" fontId="10" fillId="25" borderId="52" xfId="0" applyNumberFormat="1" applyFont="1" applyFill="1" applyBorder="1" applyAlignment="1">
      <alignment horizontal="center" vertical="center" shrinkToFit="1"/>
    </xf>
    <xf numFmtId="2" fontId="10" fillId="25" borderId="52" xfId="0" applyNumberFormat="1" applyFont="1" applyFill="1" applyBorder="1" applyAlignment="1">
      <alignment horizontal="center" vertical="center" shrinkToFit="1"/>
    </xf>
    <xf numFmtId="2" fontId="10" fillId="25" borderId="52" xfId="0" applyNumberFormat="1" applyFont="1" applyFill="1" applyBorder="1" applyAlignment="1">
      <alignment vertical="top" shrinkToFit="1"/>
    </xf>
    <xf numFmtId="0" fontId="10" fillId="25" borderId="50" xfId="0" applyNumberFormat="1" applyFont="1" applyFill="1" applyBorder="1" applyAlignment="1">
      <alignment horizontal="center" vertical="top"/>
    </xf>
    <xf numFmtId="0" fontId="10" fillId="25" borderId="3" xfId="0" applyNumberFormat="1" applyFont="1" applyFill="1" applyBorder="1" applyAlignment="1">
      <alignment horizontal="center" vertical="center"/>
    </xf>
    <xf numFmtId="2" fontId="10" fillId="25" borderId="3" xfId="0" applyNumberFormat="1" applyFont="1" applyFill="1" applyBorder="1" applyAlignment="1">
      <alignment vertical="top" shrinkToFit="1"/>
    </xf>
    <xf numFmtId="2" fontId="10" fillId="25" borderId="38" xfId="0" applyNumberFormat="1" applyFont="1" applyFill="1" applyBorder="1" applyAlignment="1">
      <alignment vertical="top"/>
    </xf>
    <xf numFmtId="2" fontId="10" fillId="25" borderId="22" xfId="0" applyNumberFormat="1" applyFont="1" applyFill="1" applyBorder="1" applyAlignment="1">
      <alignment vertical="top"/>
    </xf>
    <xf numFmtId="2" fontId="10" fillId="25" borderId="3" xfId="0" applyNumberFormat="1" applyFont="1" applyFill="1" applyBorder="1" applyAlignment="1">
      <alignment horizontal="center" vertical="center" shrinkToFit="1"/>
    </xf>
    <xf numFmtId="0" fontId="10" fillId="25" borderId="20" xfId="4" applyNumberFormat="1" applyFont="1" applyFill="1" applyBorder="1" applyAlignment="1">
      <alignment horizontal="center" vertical="top" shrinkToFit="1"/>
    </xf>
    <xf numFmtId="2" fontId="10" fillId="25" borderId="35" xfId="4" applyNumberFormat="1" applyFont="1" applyFill="1" applyBorder="1" applyAlignment="1">
      <alignment horizontal="center" vertical="center"/>
    </xf>
    <xf numFmtId="2" fontId="10" fillId="25" borderId="35" xfId="4" applyNumberFormat="1" applyFont="1" applyFill="1" applyBorder="1" applyAlignment="1">
      <alignment vertical="top"/>
    </xf>
    <xf numFmtId="49" fontId="9" fillId="25" borderId="25" xfId="4" applyNumberFormat="1" applyFont="1" applyFill="1" applyBorder="1" applyAlignment="1">
      <alignment horizontal="left" vertical="top" wrapText="1"/>
    </xf>
    <xf numFmtId="0" fontId="10" fillId="25" borderId="26" xfId="4" applyNumberFormat="1" applyFont="1" applyFill="1" applyBorder="1" applyAlignment="1">
      <alignment horizontal="center" vertical="center" shrinkToFit="1"/>
    </xf>
    <xf numFmtId="2" fontId="10" fillId="25" borderId="26" xfId="4" applyNumberFormat="1" applyFont="1" applyFill="1" applyBorder="1" applyAlignment="1">
      <alignment horizontal="center" vertical="center" shrinkToFit="1"/>
    </xf>
    <xf numFmtId="2" fontId="10" fillId="25" borderId="26" xfId="4" applyNumberFormat="1" applyFont="1" applyFill="1" applyBorder="1" applyAlignment="1">
      <alignment horizontal="center" vertical="center"/>
    </xf>
    <xf numFmtId="2" fontId="10" fillId="25" borderId="26" xfId="4" applyNumberFormat="1" applyFont="1" applyFill="1" applyBorder="1" applyAlignment="1">
      <alignment vertical="top" shrinkToFit="1"/>
    </xf>
    <xf numFmtId="0" fontId="10" fillId="25" borderId="50" xfId="4" applyNumberFormat="1" applyFont="1" applyFill="1" applyBorder="1" applyAlignment="1">
      <alignment horizontal="center" vertical="top"/>
    </xf>
    <xf numFmtId="0" fontId="10" fillId="25" borderId="3" xfId="4" applyNumberFormat="1" applyFont="1" applyFill="1" applyBorder="1" applyAlignment="1">
      <alignment vertical="top"/>
    </xf>
    <xf numFmtId="0" fontId="6" fillId="25" borderId="2" xfId="4" applyNumberFormat="1" applyFont="1" applyFill="1" applyBorder="1" applyAlignment="1">
      <alignment vertical="top"/>
    </xf>
    <xf numFmtId="0" fontId="10" fillId="25" borderId="3" xfId="4" applyNumberFormat="1" applyFont="1" applyFill="1" applyBorder="1" applyAlignment="1">
      <alignment horizontal="center" vertical="center"/>
    </xf>
    <xf numFmtId="2" fontId="10" fillId="25" borderId="3" xfId="4" applyNumberFormat="1" applyFont="1" applyFill="1" applyBorder="1" applyAlignment="1">
      <alignment vertical="top" shrinkToFit="1"/>
    </xf>
    <xf numFmtId="2" fontId="10" fillId="25" borderId="38" xfId="4" applyNumberFormat="1" applyFont="1" applyFill="1" applyBorder="1" applyAlignment="1">
      <alignment vertical="top"/>
    </xf>
    <xf numFmtId="2" fontId="10" fillId="25" borderId="22" xfId="4" applyNumberFormat="1" applyFont="1" applyFill="1" applyBorder="1" applyAlignment="1">
      <alignment vertical="top"/>
    </xf>
    <xf numFmtId="165" fontId="10" fillId="25" borderId="0" xfId="5" applyNumberFormat="1" applyFont="1" applyFill="1" applyAlignment="1">
      <alignment vertical="top"/>
    </xf>
    <xf numFmtId="2" fontId="10" fillId="25" borderId="0" xfId="5" applyNumberFormat="1" applyFont="1" applyFill="1" applyBorder="1" applyAlignment="1">
      <alignment horizontal="center" vertical="top"/>
    </xf>
    <xf numFmtId="2" fontId="9" fillId="25" borderId="10" xfId="4" applyNumberFormat="1" applyFont="1" applyFill="1" applyBorder="1" applyAlignment="1">
      <alignment vertical="top"/>
    </xf>
    <xf numFmtId="2" fontId="10" fillId="25" borderId="55" xfId="4" applyNumberFormat="1" applyFont="1" applyFill="1" applyBorder="1" applyAlignment="1">
      <alignment horizontal="center" vertical="center" shrinkToFit="1"/>
    </xf>
    <xf numFmtId="2" fontId="10" fillId="25" borderId="55" xfId="4" applyNumberFormat="1" applyFont="1" applyFill="1" applyBorder="1" applyAlignment="1">
      <alignment horizontal="center" vertical="center"/>
    </xf>
    <xf numFmtId="2" fontId="10" fillId="25" borderId="52" xfId="4" applyNumberFormat="1" applyFont="1" applyFill="1" applyBorder="1" applyAlignment="1">
      <alignment horizontal="center" vertical="center" shrinkToFit="1"/>
    </xf>
    <xf numFmtId="2" fontId="10" fillId="25" borderId="52" xfId="4" applyNumberFormat="1" applyFont="1" applyFill="1" applyBorder="1" applyAlignment="1">
      <alignment horizontal="center" vertical="center"/>
    </xf>
    <xf numFmtId="2" fontId="10" fillId="25" borderId="53" xfId="4" applyNumberFormat="1" applyFont="1" applyFill="1" applyBorder="1" applyAlignment="1">
      <alignment vertical="top" shrinkToFit="1"/>
    </xf>
    <xf numFmtId="49" fontId="10" fillId="25" borderId="0" xfId="4" applyNumberFormat="1" applyFont="1" applyFill="1" applyAlignment="1">
      <alignment horizontal="center" vertical="top" wrapText="1"/>
    </xf>
    <xf numFmtId="0" fontId="10" fillId="25" borderId="0" xfId="4" applyNumberFormat="1" applyFont="1" applyFill="1" applyAlignment="1">
      <alignment horizontal="center" vertical="center"/>
    </xf>
    <xf numFmtId="164" fontId="10" fillId="25" borderId="13" xfId="4" applyNumberFormat="1" applyFont="1" applyFill="1" applyBorder="1" applyAlignment="1">
      <alignment horizontal="center" vertical="center" shrinkToFit="1"/>
    </xf>
    <xf numFmtId="2" fontId="10" fillId="25" borderId="0" xfId="4" applyNumberFormat="1" applyFont="1" applyFill="1" applyAlignment="1">
      <alignment vertical="top"/>
    </xf>
    <xf numFmtId="2" fontId="10" fillId="25" borderId="0" xfId="4" applyNumberFormat="1" applyFont="1" applyFill="1" applyAlignment="1">
      <alignment vertical="top" shrinkToFit="1"/>
    </xf>
    <xf numFmtId="164" fontId="10" fillId="25" borderId="13" xfId="0" applyNumberFormat="1" applyFont="1" applyFill="1" applyBorder="1" applyAlignment="1">
      <alignment horizontal="center" vertical="center" shrinkToFit="1"/>
    </xf>
    <xf numFmtId="2" fontId="10" fillId="25" borderId="29" xfId="0" applyNumberFormat="1" applyFont="1" applyFill="1" applyBorder="1" applyAlignment="1">
      <alignment vertical="top" shrinkToFit="1"/>
    </xf>
    <xf numFmtId="0" fontId="10" fillId="25" borderId="33" xfId="0" applyNumberFormat="1" applyFont="1" applyFill="1" applyBorder="1" applyAlignment="1">
      <alignment horizontal="center" vertical="center" shrinkToFit="1"/>
    </xf>
    <xf numFmtId="2" fontId="10" fillId="25" borderId="33" xfId="0" applyNumberFormat="1" applyFont="1" applyFill="1" applyBorder="1" applyAlignment="1">
      <alignment horizontal="center" vertical="center"/>
    </xf>
    <xf numFmtId="2" fontId="10" fillId="25" borderId="33" xfId="0" applyNumberFormat="1" applyFont="1" applyFill="1" applyBorder="1" applyAlignment="1">
      <alignment horizontal="center" vertical="center" shrinkToFit="1"/>
    </xf>
    <xf numFmtId="2" fontId="10" fillId="25" borderId="33" xfId="0" applyNumberFormat="1" applyFont="1" applyFill="1" applyBorder="1" applyAlignment="1">
      <alignment vertical="top"/>
    </xf>
    <xf numFmtId="2" fontId="10" fillId="25" borderId="36" xfId="0" applyNumberFormat="1" applyFont="1" applyFill="1" applyBorder="1" applyAlignment="1">
      <alignment vertical="top" shrinkToFit="1"/>
    </xf>
    <xf numFmtId="2" fontId="10" fillId="25" borderId="0" xfId="0" applyNumberFormat="1" applyFont="1" applyFill="1" applyBorder="1" applyAlignment="1">
      <alignment horizontal="center" vertical="center" shrinkToFit="1"/>
    </xf>
    <xf numFmtId="0" fontId="10" fillId="25" borderId="3" xfId="5" applyNumberFormat="1" applyFont="1" applyFill="1" applyBorder="1" applyAlignment="1">
      <alignment horizontal="center" vertical="center"/>
    </xf>
    <xf numFmtId="2" fontId="10" fillId="25" borderId="3" xfId="5" applyNumberFormat="1" applyFont="1" applyFill="1" applyBorder="1" applyAlignment="1">
      <alignment vertical="top" shrinkToFit="1"/>
    </xf>
    <xf numFmtId="2" fontId="10" fillId="25" borderId="38" xfId="5" applyNumberFormat="1" applyFont="1" applyFill="1" applyBorder="1" applyAlignment="1">
      <alignment vertical="top"/>
    </xf>
    <xf numFmtId="2" fontId="10" fillId="25" borderId="22" xfId="5" applyNumberFormat="1" applyFont="1" applyFill="1" applyBorder="1" applyAlignment="1">
      <alignment vertical="top"/>
    </xf>
    <xf numFmtId="2" fontId="10" fillId="25" borderId="52" xfId="5" applyNumberFormat="1" applyFont="1" applyFill="1" applyBorder="1" applyAlignment="1">
      <alignment horizontal="center" vertical="center" shrinkToFit="1"/>
    </xf>
    <xf numFmtId="0" fontId="10" fillId="25" borderId="33" xfId="5" applyNumberFormat="1" applyFont="1" applyFill="1" applyBorder="1" applyAlignment="1">
      <alignment horizontal="center" vertical="center" shrinkToFit="1"/>
    </xf>
    <xf numFmtId="2" fontId="10" fillId="25" borderId="33" xfId="5" applyNumberFormat="1" applyFont="1" applyFill="1" applyBorder="1" applyAlignment="1">
      <alignment horizontal="center" vertical="center"/>
    </xf>
    <xf numFmtId="2" fontId="10" fillId="25" borderId="33" xfId="5" applyNumberFormat="1" applyFont="1" applyFill="1" applyBorder="1" applyAlignment="1">
      <alignment vertical="top"/>
    </xf>
    <xf numFmtId="2" fontId="10" fillId="25" borderId="35" xfId="5" applyNumberFormat="1" applyFont="1" applyFill="1" applyBorder="1" applyAlignment="1">
      <alignment horizontal="center" vertical="center"/>
    </xf>
    <xf numFmtId="2" fontId="10" fillId="25" borderId="35" xfId="5" applyNumberFormat="1" applyFont="1" applyFill="1" applyBorder="1" applyAlignment="1">
      <alignment vertical="top"/>
    </xf>
    <xf numFmtId="2" fontId="9" fillId="25" borderId="0" xfId="4" applyNumberFormat="1" applyFont="1" applyFill="1" applyAlignment="1">
      <alignment vertical="top"/>
    </xf>
    <xf numFmtId="0" fontId="10" fillId="25" borderId="0" xfId="4" applyNumberFormat="1" applyFont="1" applyFill="1" applyAlignment="1">
      <alignment horizontal="center" vertical="center" shrinkToFit="1"/>
    </xf>
    <xf numFmtId="2" fontId="10" fillId="25" borderId="0" xfId="4" applyNumberFormat="1" applyFont="1" applyFill="1" applyAlignment="1">
      <alignment horizontal="center" vertical="center"/>
    </xf>
    <xf numFmtId="49" fontId="9" fillId="25" borderId="25" xfId="0" applyNumberFormat="1" applyFont="1" applyFill="1" applyBorder="1" applyAlignment="1">
      <alignment horizontal="left" vertical="top" wrapText="1"/>
    </xf>
    <xf numFmtId="0" fontId="10" fillId="25" borderId="26" xfId="0" applyNumberFormat="1" applyFont="1" applyFill="1" applyBorder="1" applyAlignment="1">
      <alignment horizontal="center" vertical="center" shrinkToFit="1"/>
    </xf>
    <xf numFmtId="2" fontId="10" fillId="25" borderId="26" xfId="0" applyNumberFormat="1" applyFont="1" applyFill="1" applyBorder="1" applyAlignment="1">
      <alignment horizontal="center" vertical="center" shrinkToFit="1"/>
    </xf>
    <xf numFmtId="2" fontId="10" fillId="25" borderId="26" xfId="0" applyNumberFormat="1" applyFont="1" applyFill="1" applyBorder="1" applyAlignment="1">
      <alignment horizontal="center" vertical="center"/>
    </xf>
    <xf numFmtId="2" fontId="10" fillId="25" borderId="26" xfId="0" applyNumberFormat="1" applyFont="1" applyFill="1" applyBorder="1" applyAlignment="1">
      <alignment vertical="top" shrinkToFit="1"/>
    </xf>
    <xf numFmtId="2" fontId="10" fillId="25" borderId="30" xfId="0" applyNumberFormat="1" applyFont="1" applyFill="1" applyBorder="1" applyAlignment="1">
      <alignment vertical="top" shrinkToFit="1"/>
    </xf>
    <xf numFmtId="0" fontId="10" fillId="25" borderId="52" xfId="0" applyNumberFormat="1" applyFont="1" applyFill="1" applyBorder="1" applyAlignment="1">
      <alignment horizontal="center" vertical="top" shrinkToFit="1"/>
    </xf>
    <xf numFmtId="2" fontId="10" fillId="25" borderId="52" xfId="0" applyNumberFormat="1" applyFont="1" applyFill="1" applyBorder="1" applyAlignment="1">
      <alignment horizontal="center" vertical="top" shrinkToFit="1"/>
    </xf>
    <xf numFmtId="2" fontId="10" fillId="25" borderId="53" xfId="0" applyNumberFormat="1" applyFont="1" applyFill="1" applyBorder="1" applyAlignment="1">
      <alignment vertical="top" shrinkToFit="1"/>
    </xf>
    <xf numFmtId="0" fontId="10" fillId="25" borderId="0" xfId="0" applyNumberFormat="1" applyFont="1" applyFill="1" applyBorder="1" applyAlignment="1">
      <alignment horizontal="center" vertical="top" shrinkToFit="1"/>
    </xf>
    <xf numFmtId="2" fontId="10" fillId="25" borderId="0" xfId="0" applyNumberFormat="1" applyFont="1" applyFill="1" applyBorder="1" applyAlignment="1">
      <alignment horizontal="center" vertical="top"/>
    </xf>
    <xf numFmtId="2" fontId="10" fillId="25" borderId="0" xfId="0" applyNumberFormat="1" applyFont="1" applyFill="1" applyBorder="1" applyAlignment="1">
      <alignment horizontal="center" vertical="top" shrinkToFit="1"/>
    </xf>
    <xf numFmtId="0" fontId="10" fillId="25" borderId="1" xfId="0" applyNumberFormat="1" applyFont="1" applyFill="1" applyBorder="1" applyAlignment="1">
      <alignment horizontal="center" vertical="top" shrinkToFit="1"/>
    </xf>
    <xf numFmtId="2" fontId="10" fillId="25" borderId="1" xfId="0" applyNumberFormat="1" applyFont="1" applyFill="1" applyBorder="1" applyAlignment="1">
      <alignment horizontal="center" vertical="top"/>
    </xf>
    <xf numFmtId="2" fontId="10" fillId="25" borderId="1" xfId="0" applyNumberFormat="1" applyFont="1" applyFill="1" applyBorder="1" applyAlignment="1">
      <alignment horizontal="center" vertical="top" shrinkToFit="1"/>
    </xf>
    <xf numFmtId="2" fontId="10" fillId="25" borderId="28" xfId="0" applyNumberFormat="1" applyFont="1" applyFill="1" applyBorder="1" applyAlignment="1">
      <alignment horizontal="center" vertical="center"/>
    </xf>
    <xf numFmtId="49" fontId="9" fillId="25" borderId="54" xfId="0" applyNumberFormat="1" applyFont="1" applyFill="1" applyBorder="1" applyAlignment="1">
      <alignment horizontal="left" vertical="top" wrapText="1"/>
    </xf>
    <xf numFmtId="0" fontId="10" fillId="25" borderId="55" xfId="0" applyNumberFormat="1" applyFont="1" applyFill="1" applyBorder="1" applyAlignment="1">
      <alignment horizontal="center" vertical="center" shrinkToFit="1"/>
    </xf>
    <xf numFmtId="2" fontId="10" fillId="25" borderId="55" xfId="0" applyNumberFormat="1" applyFont="1" applyFill="1" applyBorder="1" applyAlignment="1">
      <alignment horizontal="center" vertical="center" shrinkToFit="1"/>
    </xf>
    <xf numFmtId="2" fontId="10" fillId="25" borderId="55" xfId="0" applyNumberFormat="1" applyFont="1" applyFill="1" applyBorder="1" applyAlignment="1">
      <alignment horizontal="center" vertical="center"/>
    </xf>
    <xf numFmtId="2" fontId="10" fillId="25" borderId="55" xfId="0" applyNumberFormat="1" applyFont="1" applyFill="1" applyBorder="1" applyAlignment="1">
      <alignment vertical="top" shrinkToFit="1"/>
    </xf>
    <xf numFmtId="2" fontId="10" fillId="25" borderId="52" xfId="0" applyNumberFormat="1" applyFont="1" applyFill="1" applyBorder="1" applyAlignment="1">
      <alignment horizontal="center" vertical="center"/>
    </xf>
    <xf numFmtId="164" fontId="10" fillId="25" borderId="14" xfId="0" applyNumberFormat="1" applyFont="1" applyFill="1" applyBorder="1" applyAlignment="1">
      <alignment horizontal="center" vertical="center" shrinkToFit="1"/>
    </xf>
    <xf numFmtId="0" fontId="5" fillId="25" borderId="46" xfId="0" applyNumberFormat="1" applyFont="1" applyFill="1" applyBorder="1" applyAlignment="1">
      <alignment horizontal="center" vertical="top"/>
    </xf>
    <xf numFmtId="0" fontId="36" fillId="25" borderId="22" xfId="0" applyNumberFormat="1" applyFont="1" applyFill="1" applyBorder="1" applyAlignment="1">
      <alignment vertical="top"/>
    </xf>
    <xf numFmtId="2" fontId="5" fillId="25" borderId="38" xfId="0" applyNumberFormat="1" applyFont="1" applyFill="1" applyBorder="1" applyAlignment="1">
      <alignment horizontal="center" vertical="center" shrinkToFit="1"/>
    </xf>
    <xf numFmtId="0" fontId="5" fillId="25" borderId="46" xfId="4" applyNumberFormat="1" applyFont="1" applyFill="1" applyBorder="1" applyAlignment="1">
      <alignment horizontal="center" vertical="top"/>
    </xf>
    <xf numFmtId="0" fontId="5" fillId="25" borderId="3" xfId="4" applyNumberFormat="1" applyFont="1" applyFill="1" applyBorder="1" applyAlignment="1">
      <alignment vertical="top"/>
    </xf>
    <xf numFmtId="0" fontId="36" fillId="25" borderId="22" xfId="4" applyNumberFormat="1" applyFont="1" applyFill="1" applyBorder="1" applyAlignment="1">
      <alignment vertical="top"/>
    </xf>
    <xf numFmtId="0" fontId="5" fillId="25" borderId="3" xfId="4" applyNumberFormat="1" applyFont="1" applyFill="1" applyBorder="1" applyAlignment="1">
      <alignment horizontal="center" vertical="center"/>
    </xf>
    <xf numFmtId="2" fontId="5" fillId="25" borderId="38" xfId="4" applyNumberFormat="1" applyFont="1" applyFill="1" applyBorder="1" applyAlignment="1">
      <alignment horizontal="center" vertical="center" shrinkToFit="1"/>
    </xf>
    <xf numFmtId="2" fontId="5" fillId="25" borderId="4" xfId="4" applyNumberFormat="1" applyFont="1" applyFill="1" applyBorder="1" applyAlignment="1">
      <alignment vertical="top"/>
    </xf>
    <xf numFmtId="2" fontId="5" fillId="25" borderId="4" xfId="4" applyNumberFormat="1" applyFont="1" applyFill="1" applyBorder="1" applyAlignment="1">
      <alignment vertical="top" shrinkToFit="1"/>
    </xf>
    <xf numFmtId="2" fontId="36" fillId="25" borderId="3" xfId="4" applyNumberFormat="1" applyFont="1" applyFill="1" applyBorder="1" applyAlignment="1">
      <alignment vertical="top"/>
    </xf>
    <xf numFmtId="0" fontId="5" fillId="25" borderId="3" xfId="4" applyNumberFormat="1" applyFont="1" applyFill="1" applyBorder="1" applyAlignment="1">
      <alignment horizontal="center" vertical="center" shrinkToFit="1"/>
    </xf>
    <xf numFmtId="2" fontId="5" fillId="25" borderId="3" xfId="4" applyNumberFormat="1" applyFont="1" applyFill="1" applyBorder="1" applyAlignment="1">
      <alignment horizontal="center" vertical="center"/>
    </xf>
    <xf numFmtId="2" fontId="5" fillId="25" borderId="3" xfId="4" applyNumberFormat="1" applyFont="1" applyFill="1" applyBorder="1" applyAlignment="1">
      <alignment horizontal="center" vertical="center" shrinkToFit="1"/>
    </xf>
    <xf numFmtId="2" fontId="5" fillId="25" borderId="3" xfId="4" applyNumberFormat="1" applyFont="1" applyFill="1" applyBorder="1" applyAlignment="1">
      <alignment vertical="top"/>
    </xf>
    <xf numFmtId="2" fontId="5" fillId="25" borderId="3" xfId="4" applyNumberFormat="1" applyFont="1" applyFill="1" applyBorder="1" applyAlignment="1">
      <alignment vertical="top" shrinkToFit="1"/>
    </xf>
    <xf numFmtId="0" fontId="10" fillId="25" borderId="23" xfId="4" applyNumberFormat="1" applyFont="1" applyFill="1" applyBorder="1" applyAlignment="1">
      <alignment horizontal="center" vertical="top"/>
    </xf>
    <xf numFmtId="0" fontId="10" fillId="25" borderId="4" xfId="4" applyNumberFormat="1" applyFont="1" applyFill="1" applyBorder="1" applyAlignment="1">
      <alignment vertical="top"/>
    </xf>
    <xf numFmtId="0" fontId="10" fillId="25" borderId="12" xfId="4" applyNumberFormat="1" applyFont="1" applyFill="1" applyBorder="1" applyAlignment="1">
      <alignment horizontal="center" vertical="center"/>
    </xf>
    <xf numFmtId="0" fontId="10" fillId="25" borderId="23" xfId="4" applyNumberFormat="1" applyFont="1" applyFill="1" applyBorder="1" applyAlignment="1">
      <alignment horizontal="center" vertical="center"/>
    </xf>
    <xf numFmtId="0" fontId="10" fillId="25" borderId="29" xfId="4" applyNumberFormat="1" applyFont="1" applyFill="1" applyBorder="1" applyAlignment="1">
      <alignment horizontal="center" vertical="center"/>
    </xf>
    <xf numFmtId="0" fontId="10" fillId="25" borderId="10" xfId="4" applyNumberFormat="1" applyFont="1" applyFill="1" applyBorder="1" applyAlignment="1">
      <alignment horizontal="center" vertical="top"/>
    </xf>
    <xf numFmtId="0" fontId="10" fillId="25" borderId="14" xfId="4" applyNumberFormat="1" applyFont="1" applyFill="1" applyBorder="1" applyAlignment="1">
      <alignment horizontal="center" vertical="center"/>
    </xf>
    <xf numFmtId="0" fontId="10" fillId="25" borderId="10" xfId="4" applyNumberFormat="1" applyFont="1" applyFill="1" applyBorder="1" applyAlignment="1">
      <alignment horizontal="center" vertical="center"/>
    </xf>
    <xf numFmtId="0" fontId="10" fillId="25" borderId="11" xfId="4" applyNumberFormat="1" applyFont="1" applyFill="1" applyBorder="1" applyAlignment="1">
      <alignment horizontal="center" vertical="center"/>
    </xf>
    <xf numFmtId="49" fontId="9" fillId="25" borderId="25" xfId="5" applyNumberFormat="1" applyFont="1" applyFill="1" applyBorder="1" applyAlignment="1">
      <alignment horizontal="left" vertical="top" wrapText="1"/>
    </xf>
    <xf numFmtId="0" fontId="10" fillId="25" borderId="26" xfId="5" applyNumberFormat="1" applyFont="1" applyFill="1" applyBorder="1" applyAlignment="1">
      <alignment horizontal="center" vertical="center" shrinkToFit="1"/>
    </xf>
    <xf numFmtId="2" fontId="10" fillId="25" borderId="26" xfId="5" applyNumberFormat="1" applyFont="1" applyFill="1" applyBorder="1" applyAlignment="1">
      <alignment horizontal="center" vertical="center" shrinkToFit="1"/>
    </xf>
    <xf numFmtId="2" fontId="10" fillId="25" borderId="26" xfId="5" applyNumberFormat="1" applyFont="1" applyFill="1" applyBorder="1" applyAlignment="1">
      <alignment horizontal="center" vertical="center"/>
    </xf>
    <xf numFmtId="2" fontId="10" fillId="25" borderId="26" xfId="5" applyNumberFormat="1" applyFont="1" applyFill="1" applyBorder="1" applyAlignment="1">
      <alignment vertical="top" shrinkToFit="1"/>
    </xf>
    <xf numFmtId="2" fontId="10" fillId="25" borderId="31" xfId="5" applyNumberFormat="1" applyFont="1" applyFill="1" applyBorder="1" applyAlignment="1">
      <alignment vertical="top" shrinkToFit="1"/>
    </xf>
    <xf numFmtId="167" fontId="10" fillId="25" borderId="13" xfId="5" applyNumberFormat="1" applyFont="1" applyFill="1" applyBorder="1" applyAlignment="1">
      <alignment horizontal="center" vertical="center" shrinkToFit="1"/>
    </xf>
    <xf numFmtId="2" fontId="10" fillId="25" borderId="3" xfId="5" applyNumberFormat="1" applyFont="1" applyFill="1" applyBorder="1" applyAlignment="1">
      <alignment horizontal="center" vertical="center" shrinkToFit="1"/>
    </xf>
    <xf numFmtId="2" fontId="10" fillId="25" borderId="0" xfId="5" applyNumberFormat="1" applyFont="1" applyFill="1" applyBorder="1" applyAlignment="1">
      <alignment horizontal="center" vertical="center" shrinkToFit="1"/>
    </xf>
    <xf numFmtId="2" fontId="10" fillId="25" borderId="1" xfId="5" applyNumberFormat="1" applyFont="1" applyFill="1" applyBorder="1" applyAlignment="1">
      <alignment horizontal="center" vertical="center" shrinkToFit="1"/>
    </xf>
    <xf numFmtId="0" fontId="5" fillId="25" borderId="46" xfId="5" applyNumberFormat="1" applyFont="1" applyFill="1" applyBorder="1" applyAlignment="1">
      <alignment horizontal="center" vertical="top"/>
    </xf>
    <xf numFmtId="0" fontId="5" fillId="25" borderId="3" xfId="5" applyNumberFormat="1" applyFont="1" applyFill="1" applyBorder="1" applyAlignment="1">
      <alignment vertical="top"/>
    </xf>
    <xf numFmtId="0" fontId="36" fillId="25" borderId="29" xfId="5" applyNumberFormat="1" applyFont="1" applyFill="1" applyBorder="1" applyAlignment="1">
      <alignment vertical="top"/>
    </xf>
    <xf numFmtId="0" fontId="5" fillId="25" borderId="4" xfId="5" applyNumberFormat="1" applyFont="1" applyFill="1" applyBorder="1" applyAlignment="1">
      <alignment horizontal="center" vertical="center"/>
    </xf>
    <xf numFmtId="2" fontId="5" fillId="25" borderId="23" xfId="5" applyNumberFormat="1" applyFont="1" applyFill="1" applyBorder="1" applyAlignment="1">
      <alignment horizontal="center" vertical="center" shrinkToFit="1"/>
    </xf>
    <xf numFmtId="2" fontId="5" fillId="25" borderId="4" xfId="5" applyNumberFormat="1" applyFont="1" applyFill="1" applyBorder="1" applyAlignment="1">
      <alignment vertical="top"/>
    </xf>
    <xf numFmtId="2" fontId="5" fillId="25" borderId="4" xfId="5" applyNumberFormat="1" applyFont="1" applyFill="1" applyBorder="1" applyAlignment="1">
      <alignment vertical="top" shrinkToFit="1"/>
    </xf>
    <xf numFmtId="2" fontId="36" fillId="25" borderId="3" xfId="5" applyNumberFormat="1" applyFont="1" applyFill="1" applyBorder="1" applyAlignment="1">
      <alignment vertical="top"/>
    </xf>
    <xf numFmtId="0" fontId="5" fillId="25" borderId="3" xfId="5" applyNumberFormat="1" applyFont="1" applyFill="1" applyBorder="1" applyAlignment="1">
      <alignment horizontal="center" vertical="center" shrinkToFit="1"/>
    </xf>
    <xf numFmtId="2" fontId="5" fillId="25" borderId="3" xfId="5" applyNumberFormat="1" applyFont="1" applyFill="1" applyBorder="1" applyAlignment="1">
      <alignment horizontal="center" vertical="center"/>
    </xf>
    <xf numFmtId="2" fontId="5" fillId="25" borderId="3" xfId="5" applyNumberFormat="1" applyFont="1" applyFill="1" applyBorder="1" applyAlignment="1">
      <alignment horizontal="center" vertical="center" shrinkToFit="1"/>
    </xf>
    <xf numFmtId="2" fontId="5" fillId="25" borderId="3" xfId="5" applyNumberFormat="1" applyFont="1" applyFill="1" applyBorder="1" applyAlignment="1">
      <alignment vertical="top"/>
    </xf>
    <xf numFmtId="2" fontId="5" fillId="25" borderId="3" xfId="5" applyNumberFormat="1" applyFont="1" applyFill="1" applyBorder="1" applyAlignment="1">
      <alignment vertical="top" shrinkToFit="1"/>
    </xf>
    <xf numFmtId="2" fontId="5" fillId="25" borderId="44" xfId="5" applyNumberFormat="1" applyFont="1" applyFill="1" applyBorder="1" applyAlignment="1">
      <alignment vertical="center" shrinkToFit="1"/>
    </xf>
    <xf numFmtId="0" fontId="10" fillId="25" borderId="12" xfId="4" applyNumberFormat="1" applyFont="1" applyFill="1" applyBorder="1" applyAlignment="1">
      <alignment horizontal="center" vertical="top"/>
    </xf>
    <xf numFmtId="0" fontId="10" fillId="25" borderId="4" xfId="4" applyNumberFormat="1" applyFont="1" applyFill="1" applyBorder="1" applyAlignment="1">
      <alignment horizontal="center" vertical="top"/>
    </xf>
    <xf numFmtId="0" fontId="10" fillId="25" borderId="29" xfId="4" applyNumberFormat="1" applyFont="1" applyFill="1" applyBorder="1" applyAlignment="1">
      <alignment horizontal="center" vertical="top"/>
    </xf>
    <xf numFmtId="0" fontId="10" fillId="25" borderId="14" xfId="4" applyNumberFormat="1" applyFont="1" applyFill="1" applyBorder="1" applyAlignment="1">
      <alignment horizontal="center" vertical="top"/>
    </xf>
    <xf numFmtId="0" fontId="10" fillId="25" borderId="1" xfId="4" applyNumberFormat="1" applyFont="1" applyFill="1" applyBorder="1" applyAlignment="1">
      <alignment horizontal="center" vertical="top"/>
    </xf>
    <xf numFmtId="0" fontId="10" fillId="25" borderId="11" xfId="4" applyNumberFormat="1" applyFont="1" applyFill="1" applyBorder="1" applyAlignment="1">
      <alignment horizontal="center" vertical="top"/>
    </xf>
    <xf numFmtId="0" fontId="10" fillId="25" borderId="20" xfId="5" applyFont="1" applyFill="1" applyBorder="1" applyAlignment="1">
      <alignment horizontal="center" vertical="top" shrinkToFit="1"/>
    </xf>
    <xf numFmtId="0" fontId="10" fillId="25" borderId="0" xfId="5" applyFont="1" applyFill="1" applyAlignment="1">
      <alignment horizontal="center" vertical="center"/>
    </xf>
    <xf numFmtId="0" fontId="10" fillId="25" borderId="3" xfId="5" applyFont="1" applyFill="1" applyBorder="1" applyAlignment="1">
      <alignment horizontal="center" vertical="center" shrinkToFit="1"/>
    </xf>
    <xf numFmtId="0" fontId="10" fillId="25" borderId="20" xfId="5" applyFont="1" applyFill="1" applyBorder="1" applyAlignment="1">
      <alignment horizontal="center" vertical="top"/>
    </xf>
    <xf numFmtId="0" fontId="10" fillId="25" borderId="0" xfId="5" applyFont="1" applyFill="1" applyAlignment="1">
      <alignment horizontal="center" vertical="center" shrinkToFit="1"/>
    </xf>
    <xf numFmtId="2" fontId="10" fillId="25" borderId="0" xfId="5" applyNumberFormat="1" applyFont="1" applyFill="1" applyAlignment="1">
      <alignment horizontal="center" vertical="center" shrinkToFit="1"/>
    </xf>
    <xf numFmtId="0" fontId="10" fillId="25" borderId="21" xfId="5" applyFont="1" applyFill="1" applyBorder="1" applyAlignment="1">
      <alignment horizontal="center" vertical="top"/>
    </xf>
    <xf numFmtId="0" fontId="10" fillId="25" borderId="1" xfId="5" applyFont="1" applyFill="1" applyBorder="1" applyAlignment="1">
      <alignment vertical="top"/>
    </xf>
    <xf numFmtId="0" fontId="4" fillId="25" borderId="14" xfId="5" applyFont="1" applyFill="1" applyBorder="1" applyAlignment="1">
      <alignment vertical="top"/>
    </xf>
    <xf numFmtId="0" fontId="10" fillId="25" borderId="1" xfId="5" applyFont="1" applyFill="1" applyBorder="1" applyAlignment="1">
      <alignment horizontal="center" vertical="center"/>
    </xf>
    <xf numFmtId="0" fontId="10" fillId="25" borderId="4" xfId="5" applyFont="1" applyFill="1" applyBorder="1" applyAlignment="1">
      <alignment horizontal="center" vertical="center" shrinkToFit="1"/>
    </xf>
    <xf numFmtId="0" fontId="10" fillId="25" borderId="26" xfId="5" applyFont="1" applyFill="1" applyBorder="1" applyAlignment="1">
      <alignment horizontal="center" vertical="center" shrinkToFit="1"/>
    </xf>
    <xf numFmtId="0" fontId="10" fillId="25" borderId="40" xfId="5" applyFont="1" applyFill="1" applyBorder="1" applyAlignment="1">
      <alignment horizontal="center" vertical="top" shrinkToFit="1"/>
    </xf>
    <xf numFmtId="0" fontId="10" fillId="25" borderId="4" xfId="5" applyFont="1" applyFill="1" applyBorder="1" applyAlignment="1">
      <alignment horizontal="center" vertical="center"/>
    </xf>
    <xf numFmtId="0" fontId="10" fillId="25" borderId="0" xfId="5" applyFont="1" applyFill="1" applyBorder="1" applyAlignment="1">
      <alignment horizontal="center" vertical="center"/>
    </xf>
    <xf numFmtId="0" fontId="10" fillId="25" borderId="1" xfId="5" applyFont="1" applyFill="1" applyBorder="1" applyAlignment="1">
      <alignment horizontal="center" vertical="center" shrinkToFit="1"/>
    </xf>
    <xf numFmtId="0" fontId="10" fillId="25" borderId="28" xfId="5" applyFont="1" applyFill="1" applyBorder="1" applyAlignment="1">
      <alignment horizontal="center" vertical="center" shrinkToFit="1"/>
    </xf>
    <xf numFmtId="0" fontId="10" fillId="25" borderId="0" xfId="5" applyFont="1" applyFill="1" applyBorder="1" applyAlignment="1">
      <alignment vertical="top"/>
    </xf>
    <xf numFmtId="0" fontId="10" fillId="25" borderId="35" xfId="5" applyFont="1" applyFill="1" applyBorder="1" applyAlignment="1">
      <alignment horizontal="center" vertical="center" shrinkToFit="1"/>
    </xf>
    <xf numFmtId="2" fontId="9" fillId="25" borderId="0" xfId="5" applyNumberFormat="1" applyFont="1" applyFill="1" applyAlignment="1">
      <alignment vertical="top" wrapText="1"/>
    </xf>
    <xf numFmtId="166" fontId="10" fillId="25" borderId="13" xfId="5" applyNumberFormat="1" applyFont="1" applyFill="1" applyBorder="1" applyAlignment="1">
      <alignment horizontal="center" vertical="center" shrinkToFit="1"/>
    </xf>
    <xf numFmtId="0" fontId="10" fillId="25" borderId="0" xfId="5" applyFont="1" applyFill="1" applyAlignment="1">
      <alignment vertical="top"/>
    </xf>
    <xf numFmtId="0" fontId="10" fillId="25" borderId="26" xfId="5" applyFont="1" applyFill="1" applyBorder="1" applyAlignment="1">
      <alignment horizontal="center" vertical="top" shrinkToFit="1"/>
    </xf>
    <xf numFmtId="2" fontId="10" fillId="25" borderId="26" xfId="5" applyNumberFormat="1" applyFont="1" applyFill="1" applyBorder="1" applyAlignment="1">
      <alignment horizontal="center" vertical="top" shrinkToFit="1"/>
    </xf>
    <xf numFmtId="2" fontId="10" fillId="25" borderId="26" xfId="5" applyNumberFormat="1" applyFont="1" applyFill="1" applyBorder="1" applyAlignment="1">
      <alignment horizontal="center" vertical="top"/>
    </xf>
    <xf numFmtId="2" fontId="10" fillId="25" borderId="13" xfId="5" applyNumberFormat="1" applyFont="1" applyFill="1" applyBorder="1" applyAlignment="1">
      <alignment horizontal="center" vertical="top" shrinkToFit="1"/>
    </xf>
    <xf numFmtId="0" fontId="5" fillId="25" borderId="46" xfId="5" applyFont="1" applyFill="1" applyBorder="1" applyAlignment="1">
      <alignment horizontal="center" vertical="top"/>
    </xf>
    <xf numFmtId="0" fontId="5" fillId="25" borderId="3" xfId="5" applyFont="1" applyFill="1" applyBorder="1" applyAlignment="1">
      <alignment vertical="top"/>
    </xf>
    <xf numFmtId="0" fontId="36" fillId="25" borderId="22" xfId="5" applyFont="1" applyFill="1" applyBorder="1" applyAlignment="1">
      <alignment vertical="top"/>
    </xf>
    <xf numFmtId="0" fontId="5" fillId="25" borderId="3" xfId="5" applyFont="1" applyFill="1" applyBorder="1" applyAlignment="1">
      <alignment horizontal="center" vertical="center"/>
    </xf>
    <xf numFmtId="2" fontId="5" fillId="25" borderId="38" xfId="5" applyNumberFormat="1" applyFont="1" applyFill="1" applyBorder="1" applyAlignment="1">
      <alignment horizontal="center" vertical="center" shrinkToFit="1"/>
    </xf>
    <xf numFmtId="0" fontId="5" fillId="25" borderId="3" xfId="5" applyFont="1" applyFill="1" applyBorder="1" applyAlignment="1">
      <alignment horizontal="center" vertical="center" shrinkToFit="1"/>
    </xf>
    <xf numFmtId="0" fontId="5" fillId="25" borderId="47" xfId="5" applyFont="1" applyFill="1" applyBorder="1" applyAlignment="1">
      <alignment horizontal="center" vertical="top"/>
    </xf>
    <xf numFmtId="0" fontId="5" fillId="25" borderId="0" xfId="5" applyFont="1" applyFill="1" applyBorder="1" applyAlignment="1">
      <alignment vertical="top"/>
    </xf>
    <xf numFmtId="0" fontId="36" fillId="25" borderId="9" xfId="5" applyFont="1" applyFill="1" applyBorder="1" applyAlignment="1">
      <alignment vertical="top"/>
    </xf>
    <xf numFmtId="0" fontId="5" fillId="25" borderId="0" xfId="5" applyFont="1" applyFill="1" applyBorder="1" applyAlignment="1">
      <alignment horizontal="center" vertical="center"/>
    </xf>
    <xf numFmtId="2" fontId="5" fillId="25" borderId="8" xfId="5" applyNumberFormat="1" applyFont="1" applyFill="1" applyBorder="1" applyAlignment="1">
      <alignment horizontal="center" vertical="center" shrinkToFit="1"/>
    </xf>
    <xf numFmtId="2" fontId="5" fillId="25" borderId="0" xfId="5" applyNumberFormat="1" applyFont="1" applyFill="1" applyBorder="1" applyAlignment="1">
      <alignment vertical="top"/>
    </xf>
    <xf numFmtId="2" fontId="5" fillId="25" borderId="0" xfId="5" applyNumberFormat="1" applyFont="1" applyFill="1" applyBorder="1" applyAlignment="1">
      <alignment vertical="top" shrinkToFit="1"/>
    </xf>
    <xf numFmtId="2" fontId="36" fillId="25" borderId="0" xfId="5" applyNumberFormat="1" applyFont="1" applyFill="1" applyBorder="1" applyAlignment="1">
      <alignment vertical="top"/>
    </xf>
    <xf numFmtId="0" fontId="5" fillId="25" borderId="0" xfId="5" applyFont="1" applyFill="1" applyBorder="1" applyAlignment="1">
      <alignment horizontal="center" vertical="center" shrinkToFit="1"/>
    </xf>
    <xf numFmtId="2" fontId="5" fillId="25" borderId="0" xfId="5" applyNumberFormat="1" applyFont="1" applyFill="1" applyBorder="1" applyAlignment="1">
      <alignment horizontal="center" vertical="center"/>
    </xf>
    <xf numFmtId="2" fontId="5" fillId="25" borderId="0" xfId="5" applyNumberFormat="1" applyFont="1" applyFill="1" applyBorder="1" applyAlignment="1">
      <alignment horizontal="center" vertical="center" shrinkToFit="1"/>
    </xf>
    <xf numFmtId="2" fontId="5" fillId="25" borderId="42" xfId="5" applyNumberFormat="1" applyFont="1" applyFill="1" applyBorder="1" applyAlignment="1">
      <alignment vertical="center" shrinkToFit="1"/>
    </xf>
    <xf numFmtId="0" fontId="10" fillId="25" borderId="47" xfId="5" applyFont="1" applyFill="1" applyBorder="1" applyAlignment="1">
      <alignment horizontal="center" vertical="top"/>
    </xf>
    <xf numFmtId="10" fontId="10" fillId="25" borderId="0" xfId="5" applyNumberFormat="1" applyFont="1" applyFill="1" applyAlignment="1">
      <alignment horizontal="center" vertical="center"/>
    </xf>
    <xf numFmtId="2" fontId="10" fillId="25" borderId="8" xfId="5" applyNumberFormat="1" applyFont="1" applyFill="1" applyBorder="1" applyAlignment="1">
      <alignment horizontal="center" vertical="center" shrinkToFit="1"/>
    </xf>
    <xf numFmtId="2" fontId="10" fillId="25" borderId="42" xfId="5" applyNumberFormat="1" applyFont="1" applyFill="1" applyBorder="1" applyAlignment="1">
      <alignment vertical="center" shrinkToFit="1"/>
    </xf>
    <xf numFmtId="0" fontId="4" fillId="25" borderId="9" xfId="5" applyFont="1" applyFill="1" applyBorder="1" applyAlignment="1">
      <alignment vertical="top"/>
    </xf>
    <xf numFmtId="0" fontId="6" fillId="25" borderId="48" xfId="5" applyFont="1" applyFill="1" applyBorder="1" applyAlignment="1">
      <alignment horizontal="right" vertical="center"/>
    </xf>
    <xf numFmtId="0" fontId="6" fillId="25" borderId="24" xfId="5" applyFont="1" applyFill="1" applyBorder="1" applyAlignment="1">
      <alignment horizontal="right" vertical="center"/>
    </xf>
    <xf numFmtId="0" fontId="6" fillId="25" borderId="41" xfId="5" applyFont="1" applyFill="1" applyBorder="1" applyAlignment="1">
      <alignment horizontal="right" vertical="center"/>
    </xf>
    <xf numFmtId="2" fontId="6" fillId="25" borderId="39" xfId="5" applyNumberFormat="1" applyFont="1" applyFill="1" applyBorder="1" applyAlignment="1">
      <alignment horizontal="right" vertical="center" shrinkToFit="1"/>
    </xf>
    <xf numFmtId="2" fontId="6" fillId="25" borderId="24" xfId="5" applyNumberFormat="1" applyFont="1" applyFill="1" applyBorder="1" applyAlignment="1">
      <alignment horizontal="right" vertical="center"/>
    </xf>
    <xf numFmtId="2" fontId="6" fillId="25" borderId="24" xfId="5" applyNumberFormat="1" applyFont="1" applyFill="1" applyBorder="1" applyAlignment="1">
      <alignment horizontal="right" vertical="center" shrinkToFit="1"/>
    </xf>
    <xf numFmtId="0" fontId="6" fillId="25" borderId="24" xfId="5" applyFont="1" applyFill="1" applyBorder="1" applyAlignment="1">
      <alignment horizontal="right" vertical="center" shrinkToFit="1"/>
    </xf>
    <xf numFmtId="2" fontId="6" fillId="25" borderId="45" xfId="5" applyNumberFormat="1" applyFont="1" applyFill="1" applyBorder="1" applyAlignment="1">
      <alignment horizontal="right" vertical="center" shrinkToFit="1"/>
    </xf>
    <xf numFmtId="0" fontId="10" fillId="25" borderId="0" xfId="4" applyNumberFormat="1" applyFont="1" applyFill="1" applyBorder="1" applyAlignment="1">
      <alignment horizontal="center" vertical="top"/>
    </xf>
    <xf numFmtId="0" fontId="4" fillId="25" borderId="0" xfId="4" applyNumberFormat="1" applyFont="1" applyFill="1" applyBorder="1" applyAlignment="1">
      <alignment vertical="top"/>
    </xf>
    <xf numFmtId="2" fontId="10" fillId="25" borderId="0" xfId="4" applyNumberFormat="1" applyFont="1" applyFill="1" applyBorder="1" applyAlignment="1">
      <alignment horizontal="center" vertical="center" shrinkToFit="1"/>
    </xf>
    <xf numFmtId="2" fontId="10" fillId="25" borderId="0" xfId="4" applyNumberFormat="1" applyFont="1" applyFill="1" applyBorder="1" applyAlignment="1">
      <alignment vertical="center" shrinkToFit="1"/>
    </xf>
    <xf numFmtId="2" fontId="5" fillId="2" borderId="44" xfId="4" applyNumberFormat="1" applyFont="1" applyFill="1" applyBorder="1" applyAlignment="1">
      <alignment vertical="center" shrinkToFit="1"/>
    </xf>
    <xf numFmtId="0" fontId="6" fillId="25" borderId="6" xfId="0" applyFont="1" applyFill="1" applyBorder="1" applyAlignment="1">
      <alignment horizontal="left" vertical="center"/>
    </xf>
    <xf numFmtId="0" fontId="6" fillId="25" borderId="5" xfId="0" applyFont="1" applyFill="1" applyBorder="1" applyAlignment="1">
      <alignment horizontal="left" vertical="center"/>
    </xf>
    <xf numFmtId="0" fontId="6" fillId="25" borderId="7" xfId="0" applyFont="1" applyFill="1" applyBorder="1" applyAlignment="1">
      <alignment horizontal="left" vertical="center"/>
    </xf>
    <xf numFmtId="0" fontId="6" fillId="25" borderId="0" xfId="0" applyFont="1" applyFill="1" applyBorder="1" applyAlignment="1">
      <alignment horizontal="left" vertical="center"/>
    </xf>
    <xf numFmtId="0" fontId="6" fillId="25" borderId="8" xfId="0" applyFont="1" applyFill="1" applyBorder="1" applyAlignment="1">
      <alignment horizontal="left" vertical="center"/>
    </xf>
    <xf numFmtId="0" fontId="6" fillId="25" borderId="9" xfId="0" applyFont="1" applyFill="1" applyBorder="1" applyAlignment="1">
      <alignment horizontal="left" vertical="center"/>
    </xf>
    <xf numFmtId="0" fontId="6" fillId="25" borderId="1" xfId="0" applyFont="1" applyFill="1" applyBorder="1" applyAlignment="1">
      <alignment horizontal="left" vertical="center"/>
    </xf>
    <xf numFmtId="0" fontId="6" fillId="25" borderId="10" xfId="0" applyFont="1" applyFill="1" applyBorder="1" applyAlignment="1">
      <alignment horizontal="left" vertical="center"/>
    </xf>
    <xf numFmtId="0" fontId="6" fillId="25" borderId="11" xfId="0" applyFont="1" applyFill="1" applyBorder="1" applyAlignment="1">
      <alignment horizontal="left" vertical="center"/>
    </xf>
    <xf numFmtId="10" fontId="5" fillId="25" borderId="44" xfId="0" applyNumberFormat="1" applyFont="1" applyFill="1" applyBorder="1" applyAlignment="1">
      <alignment vertical="center" shrinkToFit="1"/>
    </xf>
    <xf numFmtId="10" fontId="5" fillId="25" borderId="12" xfId="4" applyNumberFormat="1" applyFont="1" applyFill="1" applyBorder="1" applyAlignment="1">
      <alignment horizontal="center" vertical="top"/>
    </xf>
    <xf numFmtId="0" fontId="5" fillId="25" borderId="14" xfId="4" applyNumberFormat="1" applyFont="1" applyFill="1" applyBorder="1" applyAlignment="1">
      <alignment horizontal="center" vertical="top"/>
    </xf>
    <xf numFmtId="2" fontId="10" fillId="25" borderId="12" xfId="5" applyNumberFormat="1" applyFont="1" applyFill="1" applyBorder="1" applyAlignment="1">
      <alignment horizontal="center" vertical="center" shrinkToFit="1"/>
    </xf>
    <xf numFmtId="2" fontId="10" fillId="25" borderId="13" xfId="5" applyNumberFormat="1" applyFont="1" applyFill="1" applyBorder="1" applyAlignment="1">
      <alignment horizontal="center" vertical="center" shrinkToFit="1"/>
    </xf>
    <xf numFmtId="49" fontId="10" fillId="25" borderId="12" xfId="5" applyNumberFormat="1" applyFont="1" applyFill="1" applyBorder="1" applyAlignment="1">
      <alignment horizontal="left" vertical="top" wrapText="1"/>
    </xf>
    <xf numFmtId="49" fontId="10" fillId="25" borderId="13" xfId="5" applyNumberFormat="1" applyFont="1" applyFill="1" applyBorder="1" applyAlignment="1">
      <alignment horizontal="left" vertical="top" wrapText="1"/>
    </xf>
    <xf numFmtId="2" fontId="10" fillId="25" borderId="43" xfId="5" applyNumberFormat="1" applyFont="1" applyFill="1" applyBorder="1" applyAlignment="1">
      <alignment horizontal="center" vertical="center" shrinkToFit="1"/>
    </xf>
    <xf numFmtId="2" fontId="10" fillId="25" borderId="18" xfId="5" applyNumberFormat="1" applyFont="1" applyFill="1" applyBorder="1" applyAlignment="1">
      <alignment horizontal="center" vertical="center" shrinkToFit="1"/>
    </xf>
    <xf numFmtId="0" fontId="7" fillId="25" borderId="29" xfId="4" applyNumberFormat="1" applyFont="1" applyFill="1" applyBorder="1" applyAlignment="1">
      <alignment horizontal="center" vertical="top"/>
    </xf>
    <xf numFmtId="0" fontId="7" fillId="25" borderId="11" xfId="4" applyNumberFormat="1" applyFont="1" applyFill="1" applyBorder="1" applyAlignment="1">
      <alignment horizontal="center" vertical="top"/>
    </xf>
    <xf numFmtId="0" fontId="7" fillId="25" borderId="23" xfId="4" applyNumberFormat="1" applyFont="1" applyFill="1" applyBorder="1" applyAlignment="1">
      <alignment horizontal="center" vertical="top"/>
    </xf>
    <xf numFmtId="0" fontId="7" fillId="25" borderId="4" xfId="4" applyNumberFormat="1" applyFont="1" applyFill="1" applyBorder="1" applyAlignment="1">
      <alignment horizontal="center" vertical="top"/>
    </xf>
    <xf numFmtId="0" fontId="7" fillId="25" borderId="10" xfId="4" applyNumberFormat="1" applyFont="1" applyFill="1" applyBorder="1" applyAlignment="1">
      <alignment horizontal="center" vertical="top"/>
    </xf>
    <xf numFmtId="0" fontId="7" fillId="25" borderId="1" xfId="4" applyNumberFormat="1" applyFont="1" applyFill="1" applyBorder="1" applyAlignment="1">
      <alignment horizontal="center" vertical="top"/>
    </xf>
    <xf numFmtId="2" fontId="10" fillId="25" borderId="12" xfId="4" applyNumberFormat="1" applyFont="1" applyFill="1" applyBorder="1" applyAlignment="1">
      <alignment horizontal="center" vertical="center" shrinkToFit="1"/>
    </xf>
    <xf numFmtId="2" fontId="10" fillId="25" borderId="13" xfId="4" applyNumberFormat="1" applyFont="1" applyFill="1" applyBorder="1" applyAlignment="1">
      <alignment horizontal="center" vertical="center" shrinkToFit="1"/>
    </xf>
    <xf numFmtId="49" fontId="10" fillId="25" borderId="0" xfId="5" applyNumberFormat="1" applyFont="1" applyFill="1" applyAlignment="1">
      <alignment horizontal="center" vertical="top" wrapText="1"/>
    </xf>
    <xf numFmtId="49" fontId="10" fillId="25" borderId="4" xfId="5" applyNumberFormat="1" applyFont="1" applyFill="1" applyBorder="1" applyAlignment="1">
      <alignment horizontal="center" vertical="top" wrapText="1"/>
    </xf>
    <xf numFmtId="49" fontId="9" fillId="25" borderId="27" xfId="5" applyNumberFormat="1" applyFont="1" applyFill="1" applyBorder="1" applyAlignment="1">
      <alignment horizontal="left" vertical="top" wrapText="1"/>
    </xf>
    <xf numFmtId="49" fontId="9" fillId="25" borderId="34" xfId="5" applyNumberFormat="1" applyFont="1" applyFill="1" applyBorder="1" applyAlignment="1">
      <alignment horizontal="left" vertical="top" wrapText="1"/>
    </xf>
    <xf numFmtId="49" fontId="10" fillId="25" borderId="0" xfId="5" applyNumberFormat="1" applyFont="1" applyFill="1" applyBorder="1" applyAlignment="1">
      <alignment horizontal="center" vertical="top" wrapText="1"/>
    </xf>
    <xf numFmtId="49" fontId="9" fillId="25" borderId="32" xfId="5" applyNumberFormat="1" applyFont="1" applyFill="1" applyBorder="1" applyAlignment="1">
      <alignment horizontal="left" vertical="top" wrapText="1"/>
    </xf>
    <xf numFmtId="49" fontId="10" fillId="25" borderId="12" xfId="4" applyNumberFormat="1" applyFont="1" applyFill="1" applyBorder="1" applyAlignment="1">
      <alignment horizontal="left" vertical="top" wrapText="1"/>
    </xf>
    <xf numFmtId="49" fontId="10" fillId="25" borderId="13" xfId="4" applyNumberFormat="1" applyFont="1" applyFill="1" applyBorder="1" applyAlignment="1">
      <alignment horizontal="left" vertical="top" wrapText="1"/>
    </xf>
    <xf numFmtId="2" fontId="10" fillId="25" borderId="43" xfId="4" applyNumberFormat="1" applyFont="1" applyFill="1" applyBorder="1" applyAlignment="1">
      <alignment horizontal="center" vertical="center" shrinkToFit="1"/>
    </xf>
    <xf numFmtId="2" fontId="10" fillId="25" borderId="18" xfId="4" applyNumberFormat="1" applyFont="1" applyFill="1" applyBorder="1" applyAlignment="1">
      <alignment horizontal="center" vertical="center" shrinkToFit="1"/>
    </xf>
    <xf numFmtId="49" fontId="10" fillId="25" borderId="14" xfId="5" applyNumberFormat="1" applyFont="1" applyFill="1" applyBorder="1" applyAlignment="1">
      <alignment horizontal="left" vertical="top" wrapText="1"/>
    </xf>
    <xf numFmtId="49" fontId="10" fillId="25" borderId="12" xfId="0" applyNumberFormat="1" applyFont="1" applyFill="1" applyBorder="1" applyAlignment="1">
      <alignment horizontal="center" vertical="top" wrapText="1"/>
    </xf>
    <xf numFmtId="49" fontId="10" fillId="25" borderId="13" xfId="0" applyNumberFormat="1" applyFont="1" applyFill="1" applyBorder="1" applyAlignment="1">
      <alignment horizontal="center" vertical="top" wrapText="1"/>
    </xf>
    <xf numFmtId="49" fontId="10" fillId="25" borderId="12" xfId="0" applyNumberFormat="1" applyFont="1" applyFill="1" applyBorder="1" applyAlignment="1">
      <alignment horizontal="left" vertical="top" wrapText="1"/>
    </xf>
    <xf numFmtId="49" fontId="10" fillId="25" borderId="13" xfId="0" applyNumberFormat="1" applyFont="1" applyFill="1" applyBorder="1" applyAlignment="1">
      <alignment horizontal="left" vertical="top" wrapText="1"/>
    </xf>
    <xf numFmtId="2" fontId="10" fillId="25" borderId="12" xfId="0" applyNumberFormat="1" applyFont="1" applyFill="1" applyBorder="1" applyAlignment="1">
      <alignment horizontal="center" vertical="center" shrinkToFit="1"/>
    </xf>
    <xf numFmtId="2" fontId="10" fillId="25" borderId="13" xfId="0" applyNumberFormat="1" applyFont="1" applyFill="1" applyBorder="1" applyAlignment="1">
      <alignment horizontal="center" vertical="center" shrinkToFit="1"/>
    </xf>
    <xf numFmtId="2" fontId="10" fillId="25" borderId="43" xfId="0" applyNumberFormat="1" applyFont="1" applyFill="1" applyBorder="1" applyAlignment="1">
      <alignment horizontal="center" vertical="center" shrinkToFit="1"/>
    </xf>
    <xf numFmtId="2" fontId="10" fillId="25" borderId="18" xfId="0" applyNumberFormat="1" applyFont="1" applyFill="1" applyBorder="1" applyAlignment="1">
      <alignment horizontal="center" vertical="center" shrinkToFit="1"/>
    </xf>
    <xf numFmtId="49" fontId="10" fillId="25" borderId="4" xfId="0" applyNumberFormat="1" applyFont="1" applyFill="1" applyBorder="1" applyAlignment="1">
      <alignment horizontal="center" vertical="top" wrapText="1"/>
    </xf>
    <xf numFmtId="0" fontId="4" fillId="25" borderId="0" xfId="0" applyFont="1" applyFill="1" applyBorder="1" applyAlignment="1">
      <alignment horizontal="center" vertical="top" wrapText="1"/>
    </xf>
    <xf numFmtId="0" fontId="4" fillId="25" borderId="13" xfId="0" applyFont="1" applyFill="1" applyBorder="1" applyAlignment="1">
      <alignment horizontal="left" vertical="top" wrapText="1"/>
    </xf>
    <xf numFmtId="0" fontId="4" fillId="25" borderId="18" xfId="0" applyFont="1" applyFill="1" applyBorder="1" applyAlignment="1">
      <alignment horizontal="center" vertical="center" shrinkToFit="1"/>
    </xf>
    <xf numFmtId="49" fontId="10" fillId="25" borderId="0" xfId="0" applyNumberFormat="1" applyFont="1" applyFill="1" applyBorder="1" applyAlignment="1">
      <alignment horizontal="center" vertical="top" wrapText="1"/>
    </xf>
    <xf numFmtId="0" fontId="6" fillId="25" borderId="73" xfId="0" applyNumberFormat="1" applyFont="1" applyFill="1" applyBorder="1" applyAlignment="1">
      <alignment horizontal="left" vertical="center"/>
    </xf>
    <xf numFmtId="0" fontId="6" fillId="25" borderId="6" xfId="0" applyNumberFormat="1" applyFont="1" applyFill="1" applyBorder="1" applyAlignment="1">
      <alignment horizontal="left" vertical="center"/>
    </xf>
    <xf numFmtId="0" fontId="6" fillId="25" borderId="7" xfId="0" applyNumberFormat="1" applyFont="1" applyFill="1" applyBorder="1" applyAlignment="1">
      <alignment horizontal="left" vertical="center"/>
    </xf>
    <xf numFmtId="0" fontId="6" fillId="25" borderId="47" xfId="0" applyNumberFormat="1" applyFont="1" applyFill="1" applyBorder="1" applyAlignment="1">
      <alignment horizontal="left" vertical="center"/>
    </xf>
    <xf numFmtId="0" fontId="6" fillId="25" borderId="0" xfId="0" applyNumberFormat="1" applyFont="1" applyFill="1" applyBorder="1" applyAlignment="1">
      <alignment horizontal="left" vertical="center"/>
    </xf>
    <xf numFmtId="0" fontId="6" fillId="25" borderId="9" xfId="0" applyNumberFormat="1" applyFont="1" applyFill="1" applyBorder="1" applyAlignment="1">
      <alignment horizontal="left" vertical="center"/>
    </xf>
    <xf numFmtId="0" fontId="6" fillId="25" borderId="74" xfId="0" applyNumberFormat="1" applyFont="1" applyFill="1" applyBorder="1" applyAlignment="1">
      <alignment horizontal="left" vertical="center"/>
    </xf>
    <xf numFmtId="0" fontId="6" fillId="25" borderId="1" xfId="0" applyNumberFormat="1" applyFont="1" applyFill="1" applyBorder="1" applyAlignment="1">
      <alignment horizontal="left" vertical="center"/>
    </xf>
    <xf numFmtId="0" fontId="6" fillId="25" borderId="11" xfId="0" applyNumberFormat="1" applyFont="1" applyFill="1" applyBorder="1" applyAlignment="1">
      <alignment horizontal="left" vertical="center"/>
    </xf>
    <xf numFmtId="10" fontId="6" fillId="25" borderId="6" xfId="0" applyNumberFormat="1" applyFont="1" applyFill="1" applyBorder="1" applyAlignment="1">
      <alignment horizontal="center" vertical="center"/>
    </xf>
    <xf numFmtId="0" fontId="6" fillId="25" borderId="71" xfId="0" applyFont="1" applyFill="1" applyBorder="1" applyAlignment="1">
      <alignment horizontal="center" vertical="center"/>
    </xf>
    <xf numFmtId="0" fontId="6" fillId="25" borderId="0" xfId="0" applyFont="1" applyFill="1" applyBorder="1" applyAlignment="1">
      <alignment horizontal="center" vertical="center"/>
    </xf>
    <xf numFmtId="0" fontId="6" fillId="25" borderId="42" xfId="0" applyFont="1" applyFill="1" applyBorder="1" applyAlignment="1">
      <alignment horizontal="center" vertical="center"/>
    </xf>
    <xf numFmtId="0" fontId="6" fillId="25" borderId="1" xfId="0" applyFont="1" applyFill="1" applyBorder="1" applyAlignment="1">
      <alignment horizontal="center" vertical="center"/>
    </xf>
    <xf numFmtId="0" fontId="6" fillId="25" borderId="72" xfId="0" applyFont="1" applyFill="1" applyBorder="1" applyAlignment="1">
      <alignment horizontal="center" vertical="center"/>
    </xf>
    <xf numFmtId="0" fontId="6" fillId="25" borderId="46" xfId="5" applyNumberFormat="1" applyFont="1" applyFill="1" applyBorder="1" applyAlignment="1">
      <alignment horizontal="center" vertical="top"/>
    </xf>
    <xf numFmtId="0" fontId="6" fillId="25" borderId="3" xfId="5" applyNumberFormat="1" applyFont="1" applyFill="1" applyBorder="1" applyAlignment="1">
      <alignment horizontal="center" vertical="top"/>
    </xf>
    <xf numFmtId="0" fontId="6" fillId="25" borderId="22" xfId="5" applyNumberFormat="1" applyFont="1" applyFill="1" applyBorder="1" applyAlignment="1">
      <alignment horizontal="center" vertical="top"/>
    </xf>
    <xf numFmtId="49" fontId="9" fillId="25" borderId="27" xfId="4" applyNumberFormat="1" applyFont="1" applyFill="1" applyBorder="1" applyAlignment="1">
      <alignment horizontal="left" vertical="top" wrapText="1"/>
    </xf>
    <xf numFmtId="49" fontId="9" fillId="25" borderId="34" xfId="4" applyNumberFormat="1" applyFont="1" applyFill="1" applyBorder="1" applyAlignment="1">
      <alignment horizontal="left" vertical="top" wrapText="1"/>
    </xf>
    <xf numFmtId="49" fontId="9" fillId="25" borderId="27" xfId="0" applyNumberFormat="1" applyFont="1" applyFill="1" applyBorder="1" applyAlignment="1">
      <alignment horizontal="left" vertical="top" wrapText="1"/>
    </xf>
    <xf numFmtId="49" fontId="9" fillId="25" borderId="32" xfId="0" applyNumberFormat="1" applyFont="1" applyFill="1" applyBorder="1" applyAlignment="1">
      <alignment horizontal="left" vertical="top" wrapText="1"/>
    </xf>
    <xf numFmtId="49" fontId="9" fillId="25" borderId="32" xfId="4" applyNumberFormat="1" applyFont="1" applyFill="1" applyBorder="1" applyAlignment="1">
      <alignment horizontal="left" vertical="top" wrapText="1"/>
    </xf>
    <xf numFmtId="0" fontId="6" fillId="25" borderId="38" xfId="0" applyNumberFormat="1" applyFont="1" applyFill="1" applyBorder="1" applyAlignment="1">
      <alignment horizontal="center" vertical="top"/>
    </xf>
    <xf numFmtId="0" fontId="6" fillId="25" borderId="22" xfId="0" applyNumberFormat="1" applyFont="1" applyFill="1" applyBorder="1" applyAlignment="1">
      <alignment horizontal="center" vertical="top"/>
    </xf>
    <xf numFmtId="49" fontId="9" fillId="25" borderId="60" xfId="4" applyNumberFormat="1" applyFont="1" applyFill="1" applyBorder="1" applyAlignment="1">
      <alignment horizontal="left" vertical="top" wrapText="1"/>
    </xf>
    <xf numFmtId="49" fontId="9" fillId="25" borderId="61" xfId="4" applyNumberFormat="1" applyFont="1" applyFill="1" applyBorder="1" applyAlignment="1">
      <alignment horizontal="left" vertical="top" wrapText="1"/>
    </xf>
    <xf numFmtId="49" fontId="10" fillId="25" borderId="14" xfId="4" applyNumberFormat="1" applyFont="1" applyFill="1" applyBorder="1" applyAlignment="1">
      <alignment horizontal="left" vertical="top" wrapText="1"/>
    </xf>
    <xf numFmtId="49" fontId="10" fillId="25" borderId="4" xfId="4" applyNumberFormat="1" applyFont="1" applyFill="1" applyBorder="1" applyAlignment="1">
      <alignment horizontal="center" vertical="top" wrapText="1"/>
    </xf>
    <xf numFmtId="49" fontId="10" fillId="25" borderId="0" xfId="4" applyNumberFormat="1" applyFont="1" applyFill="1" applyBorder="1" applyAlignment="1">
      <alignment horizontal="center" vertical="top" wrapText="1"/>
    </xf>
    <xf numFmtId="0" fontId="10" fillId="25" borderId="38" xfId="4" applyFont="1" applyFill="1" applyBorder="1" applyAlignment="1">
      <alignment horizontal="center" vertical="center" wrapText="1"/>
    </xf>
    <xf numFmtId="0" fontId="10" fillId="25" borderId="22" xfId="4" applyFont="1" applyFill="1" applyBorder="1" applyAlignment="1">
      <alignment horizontal="center" vertical="center" wrapText="1"/>
    </xf>
    <xf numFmtId="0" fontId="9" fillId="25" borderId="5" xfId="4" applyFont="1" applyFill="1" applyBorder="1" applyAlignment="1">
      <alignment horizontal="center" vertical="center" textRotation="90" wrapText="1"/>
    </xf>
    <xf numFmtId="0" fontId="9" fillId="25" borderId="6" xfId="4" applyFont="1" applyFill="1" applyBorder="1" applyAlignment="1">
      <alignment horizontal="center" vertical="center" textRotation="90" wrapText="1"/>
    </xf>
    <xf numFmtId="0" fontId="9" fillId="25" borderId="7" xfId="4" applyFont="1" applyFill="1" applyBorder="1" applyAlignment="1">
      <alignment horizontal="center" vertical="center" textRotation="90" wrapText="1"/>
    </xf>
    <xf numFmtId="0" fontId="9" fillId="25" borderId="8" xfId="4" applyFont="1" applyFill="1" applyBorder="1" applyAlignment="1">
      <alignment horizontal="center" vertical="center" textRotation="90" wrapText="1"/>
    </xf>
    <xf numFmtId="0" fontId="9" fillId="25" borderId="0" xfId="4" applyFont="1" applyFill="1" applyBorder="1" applyAlignment="1">
      <alignment horizontal="center" vertical="center" textRotation="90" wrapText="1"/>
    </xf>
    <xf numFmtId="0" fontId="9" fillId="25" borderId="9" xfId="4" applyFont="1" applyFill="1" applyBorder="1" applyAlignment="1">
      <alignment horizontal="center" vertical="center" textRotation="90" wrapText="1"/>
    </xf>
    <xf numFmtId="0" fontId="9" fillId="25" borderId="10" xfId="4" applyFont="1" applyFill="1" applyBorder="1" applyAlignment="1">
      <alignment horizontal="center" vertical="center" textRotation="90" wrapText="1"/>
    </xf>
    <xf numFmtId="0" fontId="9" fillId="25" borderId="1" xfId="4" applyFont="1" applyFill="1" applyBorder="1" applyAlignment="1">
      <alignment horizontal="center" vertical="center" textRotation="90" wrapText="1"/>
    </xf>
    <xf numFmtId="0" fontId="9" fillId="25" borderId="11" xfId="4" applyFont="1" applyFill="1" applyBorder="1" applyAlignment="1">
      <alignment horizontal="center" vertical="center" textRotation="90" wrapText="1"/>
    </xf>
    <xf numFmtId="0" fontId="36" fillId="25" borderId="15" xfId="4" applyFont="1" applyFill="1" applyBorder="1" applyAlignment="1">
      <alignment horizontal="center" vertical="center" wrapText="1"/>
    </xf>
    <xf numFmtId="0" fontId="4" fillId="25" borderId="15" xfId="4" applyFont="1" applyFill="1" applyBorder="1" applyAlignment="1">
      <alignment horizontal="center" vertical="center" wrapText="1"/>
    </xf>
    <xf numFmtId="0" fontId="9" fillId="25" borderId="8" xfId="4" applyFont="1" applyFill="1" applyBorder="1" applyAlignment="1">
      <alignment horizontal="center" textRotation="90" wrapText="1"/>
    </xf>
    <xf numFmtId="0" fontId="9" fillId="25" borderId="10" xfId="4" applyFont="1" applyFill="1" applyBorder="1" applyAlignment="1">
      <alignment horizontal="center" textRotation="90" wrapText="1"/>
    </xf>
    <xf numFmtId="0" fontId="9" fillId="25" borderId="16" xfId="4" applyFont="1" applyFill="1" applyBorder="1" applyAlignment="1">
      <alignment horizontal="center" vertical="center" textRotation="90" wrapText="1"/>
    </xf>
    <xf numFmtId="0" fontId="9" fillId="25" borderId="13" xfId="4" applyFont="1" applyFill="1" applyBorder="1" applyAlignment="1">
      <alignment horizontal="center" textRotation="90" wrapText="1"/>
    </xf>
    <xf numFmtId="0" fontId="9" fillId="25" borderId="14" xfId="4" applyFont="1" applyFill="1" applyBorder="1" applyAlignment="1">
      <alignment horizontal="center" textRotation="90" wrapText="1"/>
    </xf>
    <xf numFmtId="0" fontId="9" fillId="25" borderId="17" xfId="4" applyFont="1" applyFill="1" applyBorder="1" applyAlignment="1">
      <alignment horizontal="center" vertical="center" textRotation="90" wrapText="1"/>
    </xf>
    <xf numFmtId="0" fontId="9" fillId="25" borderId="18" xfId="4" applyFont="1" applyFill="1" applyBorder="1" applyAlignment="1">
      <alignment horizontal="center" textRotation="90" wrapText="1"/>
    </xf>
    <xf numFmtId="0" fontId="9" fillId="25" borderId="49" xfId="4" applyFont="1" applyFill="1" applyBorder="1" applyAlignment="1">
      <alignment horizontal="center" textRotation="90" wrapText="1"/>
    </xf>
    <xf numFmtId="0" fontId="10" fillId="25" borderId="4" xfId="4" applyFont="1" applyFill="1" applyBorder="1" applyAlignment="1">
      <alignment horizontal="center" vertical="center"/>
    </xf>
    <xf numFmtId="0" fontId="10" fillId="25" borderId="0" xfId="4" applyFont="1" applyFill="1" applyBorder="1" applyAlignment="1">
      <alignment horizontal="center" vertical="center"/>
    </xf>
    <xf numFmtId="0" fontId="10" fillId="25" borderId="1" xfId="4" applyFont="1" applyFill="1" applyBorder="1" applyAlignment="1">
      <alignment horizontal="center" vertical="center"/>
    </xf>
    <xf numFmtId="0" fontId="9" fillId="25" borderId="2" xfId="4" applyFont="1" applyFill="1" applyBorder="1" applyAlignment="1">
      <alignment horizontal="center" vertical="center" textRotation="90" wrapText="1"/>
    </xf>
    <xf numFmtId="0" fontId="4" fillId="25" borderId="2" xfId="4" applyFont="1" applyFill="1" applyBorder="1" applyAlignment="1">
      <alignment horizontal="center" vertical="center" textRotation="90" wrapText="1"/>
    </xf>
    <xf numFmtId="0" fontId="9" fillId="25" borderId="12" xfId="4" applyFont="1" applyFill="1" applyBorder="1" applyAlignment="1">
      <alignment horizontal="center" vertical="center" textRotation="90" wrapText="1"/>
    </xf>
    <xf numFmtId="0" fontId="4" fillId="25" borderId="13" xfId="4" applyFont="1" applyFill="1" applyBorder="1" applyAlignment="1">
      <alignment horizontal="center" vertical="center" textRotation="90" wrapText="1"/>
    </xf>
    <xf numFmtId="0" fontId="4" fillId="25" borderId="14" xfId="4" applyFont="1" applyFill="1" applyBorder="1" applyAlignment="1">
      <alignment horizontal="center" vertical="center" textRotation="90" wrapText="1"/>
    </xf>
    <xf numFmtId="2" fontId="32" fillId="25" borderId="0" xfId="0" applyNumberFormat="1" applyFont="1" applyFill="1" applyAlignment="1">
      <alignment horizontal="left" vertical="center" shrinkToFit="1"/>
    </xf>
    <xf numFmtId="0" fontId="4" fillId="25" borderId="0" xfId="0" applyFont="1" applyFill="1" applyAlignment="1">
      <alignment horizontal="left" vertical="center" shrinkToFit="1"/>
    </xf>
    <xf numFmtId="0" fontId="10" fillId="25" borderId="19" xfId="4" applyFont="1" applyFill="1" applyBorder="1" applyAlignment="1">
      <alignment horizontal="center" vertical="center" wrapText="1"/>
    </xf>
    <xf numFmtId="0" fontId="10" fillId="25" borderId="20" xfId="4" applyFont="1" applyFill="1" applyBorder="1" applyAlignment="1">
      <alignment horizontal="center" vertical="center" wrapText="1"/>
    </xf>
    <xf numFmtId="0" fontId="10" fillId="25" borderId="21" xfId="4" applyFont="1" applyFill="1" applyBorder="1" applyAlignment="1">
      <alignment horizontal="center" vertical="center" wrapText="1"/>
    </xf>
    <xf numFmtId="0" fontId="9" fillId="25" borderId="16" xfId="4" applyFont="1" applyFill="1" applyBorder="1" applyAlignment="1">
      <alignment horizontal="center" vertical="center" wrapText="1"/>
    </xf>
    <xf numFmtId="0" fontId="9" fillId="25" borderId="13" xfId="4" applyFont="1" applyFill="1" applyBorder="1" applyAlignment="1">
      <alignment horizontal="center" vertical="center" wrapText="1"/>
    </xf>
    <xf numFmtId="0" fontId="9" fillId="25" borderId="14" xfId="4" applyFont="1" applyFill="1" applyBorder="1" applyAlignment="1">
      <alignment horizontal="center" vertical="center" wrapText="1"/>
    </xf>
    <xf numFmtId="0" fontId="10" fillId="25" borderId="16" xfId="4" applyFont="1" applyFill="1" applyBorder="1" applyAlignment="1">
      <alignment horizontal="center" vertical="center" wrapText="1"/>
    </xf>
    <xf numFmtId="0" fontId="10" fillId="25" borderId="13" xfId="4" applyFont="1" applyFill="1" applyBorder="1" applyAlignment="1">
      <alignment horizontal="center" vertical="center" wrapText="1"/>
    </xf>
    <xf numFmtId="0" fontId="10" fillId="25" borderId="14" xfId="4" applyFont="1" applyFill="1" applyBorder="1" applyAlignment="1">
      <alignment horizontal="center" vertical="center" wrapText="1"/>
    </xf>
    <xf numFmtId="0" fontId="9" fillId="25" borderId="13" xfId="4" applyFont="1" applyFill="1" applyBorder="1" applyAlignment="1">
      <alignment horizontal="center" vertical="center" textRotation="90" wrapText="1"/>
    </xf>
    <xf numFmtId="0" fontId="9" fillId="25" borderId="14" xfId="4" applyFont="1" applyFill="1" applyBorder="1" applyAlignment="1">
      <alignment horizontal="center" vertical="center" textRotation="90" wrapText="1"/>
    </xf>
    <xf numFmtId="0" fontId="4" fillId="25" borderId="13" xfId="4" applyFont="1" applyFill="1" applyBorder="1" applyAlignment="1">
      <alignment horizontal="center" textRotation="90" wrapText="1"/>
    </xf>
    <xf numFmtId="0" fontId="4" fillId="25" borderId="14" xfId="4" applyFont="1" applyFill="1" applyBorder="1" applyAlignment="1">
      <alignment horizontal="center" textRotation="90" wrapText="1"/>
    </xf>
    <xf numFmtId="0" fontId="33" fillId="25" borderId="0" xfId="4" applyFont="1" applyFill="1" applyAlignment="1">
      <alignment horizontal="center"/>
    </xf>
    <xf numFmtId="0" fontId="34" fillId="25" borderId="4" xfId="4" applyFont="1" applyFill="1" applyBorder="1" applyAlignment="1">
      <alignment horizontal="center" vertical="center"/>
    </xf>
    <xf numFmtId="0" fontId="33" fillId="25" borderId="0" xfId="4" applyFont="1" applyFill="1" applyAlignment="1">
      <alignment horizontal="left"/>
    </xf>
    <xf numFmtId="2" fontId="35" fillId="25" borderId="0" xfId="4" applyNumberFormat="1" applyFont="1" applyFill="1" applyAlignment="1">
      <alignment horizontal="center" vertical="center" shrinkToFit="1"/>
    </xf>
    <xf numFmtId="0" fontId="6" fillId="25" borderId="0" xfId="4" applyFont="1" applyFill="1" applyAlignment="1">
      <alignment horizontal="center" vertical="center" shrinkToFit="1"/>
    </xf>
    <xf numFmtId="14" fontId="33" fillId="25" borderId="0" xfId="4" applyNumberFormat="1" applyFont="1" applyFill="1" applyAlignment="1">
      <alignment horizontal="left"/>
    </xf>
    <xf numFmtId="0" fontId="6" fillId="25" borderId="0" xfId="0" applyFont="1" applyFill="1" applyBorder="1" applyAlignment="1">
      <alignment horizontal="center" wrapText="1"/>
    </xf>
    <xf numFmtId="0" fontId="4" fillId="25" borderId="0" xfId="4" applyFont="1" applyFill="1" applyAlignment="1">
      <alignment horizontal="center"/>
    </xf>
    <xf numFmtId="0" fontId="32" fillId="25" borderId="0" xfId="0" applyFont="1" applyFill="1" applyAlignment="1">
      <alignment horizontal="center" vertical="center" shrinkToFit="1"/>
    </xf>
    <xf numFmtId="0" fontId="6" fillId="25" borderId="0" xfId="0" applyFont="1" applyFill="1" applyAlignment="1">
      <alignment horizontal="center" vertical="center" shrinkToFit="1"/>
    </xf>
    <xf numFmtId="164" fontId="32" fillId="25" borderId="0" xfId="0" applyNumberFormat="1" applyFont="1" applyFill="1" applyAlignment="1">
      <alignment horizontal="left" vertical="center"/>
    </xf>
    <xf numFmtId="164" fontId="4" fillId="25" borderId="0" xfId="0" applyNumberFormat="1" applyFont="1" applyFill="1" applyAlignment="1">
      <alignment horizontal="left" vertical="center"/>
    </xf>
    <xf numFmtId="10" fontId="5" fillId="25" borderId="57" xfId="4" applyNumberFormat="1" applyFont="1" applyFill="1" applyBorder="1" applyAlignment="1">
      <alignment vertical="center" shrinkToFit="1"/>
    </xf>
    <xf numFmtId="9" fontId="5" fillId="25" borderId="42" xfId="5" applyNumberFormat="1" applyFont="1" applyFill="1" applyBorder="1" applyAlignment="1">
      <alignment vertical="center" shrinkToFit="1"/>
    </xf>
    <xf numFmtId="10" fontId="5" fillId="25" borderId="14" xfId="4" applyNumberFormat="1" applyFont="1" applyFill="1" applyBorder="1" applyAlignment="1">
      <alignment horizontal="center" vertical="center"/>
    </xf>
    <xf numFmtId="10" fontId="5" fillId="25" borderId="57" xfId="5" applyNumberFormat="1" applyFont="1" applyFill="1" applyBorder="1" applyAlignment="1">
      <alignment vertical="center" shrinkToFit="1"/>
    </xf>
    <xf numFmtId="10" fontId="5" fillId="25" borderId="57" xfId="0" applyNumberFormat="1" applyFont="1" applyFill="1" applyBorder="1" applyAlignment="1">
      <alignment vertical="center" shrinkToFit="1"/>
    </xf>
    <xf numFmtId="10" fontId="5" fillId="25" borderId="18" xfId="0" applyNumberFormat="1" applyFont="1" applyFill="1" applyBorder="1" applyAlignment="1">
      <alignment vertical="center" shrinkToFit="1"/>
    </xf>
  </cellXfs>
  <cellStyles count="69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 2" xfId="24"/>
    <cellStyle name="Normal" xfId="0" builtinId="0"/>
    <cellStyle name="Normal 10" xfId="25"/>
    <cellStyle name="Normal 2" xfId="2"/>
    <cellStyle name="Normal 2 2" xfId="1"/>
    <cellStyle name="Normal 2 2 2" xfId="5"/>
    <cellStyle name="Normal 2 2 3" xfId="26"/>
    <cellStyle name="Normal 2 2_ALL 2011 tiv" xfId="27"/>
    <cellStyle name="Normal 2 3" xfId="28"/>
    <cellStyle name="Normal 2 4" xfId="29"/>
    <cellStyle name="Normal 2_1.Копия SMETA BANADZEV-26.08.2015 (1) (1)" xfId="30"/>
    <cellStyle name="Normal 3" xfId="4"/>
    <cellStyle name="Normal 3 2" xfId="31"/>
    <cellStyle name="Normal 3 2 2" xfId="32"/>
    <cellStyle name="Normal 3 3" xfId="33"/>
    <cellStyle name="Normal 3_1.Копия SMETA BANADZEV-26.08.2015 (1) (1)" xfId="34"/>
    <cellStyle name="Normal 4" xfId="35"/>
    <cellStyle name="Normal 5" xfId="36"/>
    <cellStyle name="Normal 6" xfId="37"/>
    <cellStyle name="Normal 7" xfId="38"/>
    <cellStyle name="Normal 7 2" xfId="39"/>
    <cellStyle name="Normal 8" xfId="40"/>
    <cellStyle name="Normal 9" xfId="41"/>
    <cellStyle name="Normal_Artchut-2_plotina 2" xfId="3"/>
    <cellStyle name="Percent 2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" xfId="52"/>
    <cellStyle name="Заголовок 2" xfId="53"/>
    <cellStyle name="Заголовок 3" xfId="54"/>
    <cellStyle name="Заголовок 4" xfId="55"/>
    <cellStyle name="Итог" xfId="56"/>
    <cellStyle name="Контрольная ячейка" xfId="57"/>
    <cellStyle name="Название" xfId="58"/>
    <cellStyle name="Нейтральный" xfId="59"/>
    <cellStyle name="Обычный 2" xfId="60"/>
    <cellStyle name="Обычный 2 2" xfId="61"/>
    <cellStyle name="Обычный 3" xfId="62"/>
    <cellStyle name="Плохой" xfId="63"/>
    <cellStyle name="Пояснение" xfId="64"/>
    <cellStyle name="Примечание" xfId="65"/>
    <cellStyle name="Связанная ячейка" xfId="66"/>
    <cellStyle name="Текст предупреждения" xfId="67"/>
    <cellStyle name="Хороший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1"/>
  <sheetViews>
    <sheetView tabSelected="1" topLeftCell="A4" workbookViewId="0">
      <selection activeCell="T37" sqref="T37"/>
    </sheetView>
  </sheetViews>
  <sheetFormatPr defaultRowHeight="12.75"/>
  <cols>
    <col min="1" max="1" width="4.28515625" style="504" customWidth="1"/>
    <col min="2" max="2" width="0.28515625" style="70" customWidth="1"/>
    <col min="3" max="3" width="59.5703125" style="505" customWidth="1"/>
    <col min="4" max="4" width="6.7109375" style="60" customWidth="1"/>
    <col min="5" max="5" width="6.7109375" style="506" customWidth="1"/>
    <col min="6" max="6" width="0.140625" style="62" hidden="1" customWidth="1"/>
    <col min="7" max="7" width="5.85546875" style="71" hidden="1" customWidth="1"/>
    <col min="8" max="9" width="0.7109375" style="62" hidden="1" customWidth="1"/>
    <col min="10" max="10" width="5.85546875" style="71" hidden="1" customWidth="1"/>
    <col min="11" max="11" width="0.7109375" style="62" hidden="1" customWidth="1"/>
    <col min="12" max="12" width="21" style="97" hidden="1" customWidth="1"/>
    <col min="13" max="13" width="6.5703125" style="98" hidden="1" customWidth="1"/>
    <col min="14" max="14" width="6.5703125" style="99" hidden="1" customWidth="1"/>
    <col min="15" max="15" width="6.5703125" style="506" hidden="1" customWidth="1"/>
    <col min="16" max="16" width="6.5703125" style="62" hidden="1" customWidth="1"/>
    <col min="17" max="17" width="6.5703125" style="71" hidden="1" customWidth="1"/>
    <col min="18" max="18" width="6.5703125" style="506" hidden="1" customWidth="1"/>
    <col min="19" max="19" width="6.5703125" style="506" customWidth="1"/>
    <col min="20" max="20" width="8.5703125" style="507" customWidth="1"/>
    <col min="21" max="21" width="9.140625" style="57"/>
    <col min="22" max="24" width="9.140625" style="56"/>
    <col min="25" max="16384" width="9.140625" style="57"/>
  </cols>
  <sheetData>
    <row r="1" spans="1:24" s="1" customFormat="1" hidden="1">
      <c r="V1" s="2"/>
      <c r="W1" s="2"/>
      <c r="X1" s="2"/>
    </row>
    <row r="2" spans="1:24" s="3" customFormat="1" ht="15.75" hidden="1">
      <c r="E2" s="4" t="s">
        <v>30</v>
      </c>
      <c r="F2" s="4"/>
      <c r="G2" s="5"/>
      <c r="H2" s="5"/>
      <c r="I2" s="5"/>
      <c r="J2" s="5"/>
      <c r="K2" s="5"/>
      <c r="L2" s="5"/>
      <c r="M2" s="6" t="s">
        <v>68</v>
      </c>
      <c r="N2" s="7"/>
      <c r="O2" s="7"/>
      <c r="V2" s="8"/>
      <c r="W2" s="8"/>
      <c r="X2" s="8"/>
    </row>
    <row r="3" spans="1:24" s="9" customFormat="1" hidden="1">
      <c r="U3" s="10"/>
      <c r="V3" s="11"/>
      <c r="W3" s="11"/>
      <c r="X3" s="11"/>
    </row>
    <row r="4" spans="1:24" s="9" customFormat="1" ht="0.75" customHeight="1">
      <c r="C4" s="633" t="s">
        <v>29</v>
      </c>
      <c r="D4" s="633"/>
      <c r="E4" s="633"/>
      <c r="F4" s="633"/>
      <c r="G4" s="633"/>
      <c r="H4" s="633"/>
      <c r="I4" s="633"/>
      <c r="J4" s="633"/>
      <c r="K4" s="633"/>
      <c r="L4" s="633"/>
      <c r="M4" s="633"/>
      <c r="N4" s="633"/>
      <c r="O4" s="633"/>
      <c r="P4" s="633"/>
      <c r="Q4" s="633"/>
      <c r="R4" s="633"/>
      <c r="V4" s="11"/>
      <c r="W4" s="11"/>
      <c r="X4" s="11"/>
    </row>
    <row r="5" spans="1:24" s="9" customFormat="1" ht="12.75" hidden="1" customHeight="1">
      <c r="E5" s="634" t="s">
        <v>0</v>
      </c>
      <c r="F5" s="634"/>
      <c r="G5" s="634"/>
      <c r="H5" s="634"/>
      <c r="I5" s="634"/>
      <c r="J5" s="634"/>
      <c r="K5" s="634"/>
      <c r="L5" s="634"/>
      <c r="M5" s="634"/>
      <c r="N5" s="634"/>
      <c r="O5" s="610"/>
      <c r="P5" s="610"/>
      <c r="Q5" s="610"/>
      <c r="R5" s="610"/>
      <c r="V5" s="11"/>
      <c r="W5" s="11"/>
      <c r="X5" s="11"/>
    </row>
    <row r="6" spans="1:24" s="9" customFormat="1" ht="30" customHeight="1">
      <c r="A6" s="639" t="s">
        <v>292</v>
      </c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10"/>
      <c r="V6" s="11"/>
      <c r="W6" s="11"/>
      <c r="X6" s="11"/>
    </row>
    <row r="7" spans="1:24" s="9" customFormat="1">
      <c r="V7" s="11"/>
      <c r="W7" s="11"/>
      <c r="X7" s="11"/>
    </row>
    <row r="8" spans="1:24" s="9" customFormat="1">
      <c r="A8" s="640" t="s">
        <v>291</v>
      </c>
      <c r="B8" s="640"/>
      <c r="C8" s="640"/>
      <c r="D8" s="640"/>
      <c r="E8" s="640"/>
      <c r="F8" s="640"/>
      <c r="G8" s="640"/>
      <c r="H8" s="640"/>
      <c r="I8" s="640"/>
      <c r="J8" s="640"/>
      <c r="K8" s="640"/>
      <c r="L8" s="640"/>
      <c r="M8" s="640"/>
      <c r="N8" s="640"/>
      <c r="O8" s="640"/>
      <c r="P8" s="640"/>
      <c r="Q8" s="640"/>
      <c r="R8" s="640"/>
      <c r="S8" s="640"/>
      <c r="T8" s="640"/>
      <c r="V8" s="11"/>
      <c r="W8" s="11"/>
      <c r="X8" s="11"/>
    </row>
    <row r="9" spans="1:24" s="9" customFormat="1" hidden="1">
      <c r="A9" s="635" t="s">
        <v>1</v>
      </c>
      <c r="B9" s="635"/>
      <c r="C9" s="9" t="s">
        <v>45</v>
      </c>
      <c r="O9" s="12" t="s">
        <v>4</v>
      </c>
      <c r="P9" s="636" t="e">
        <f>#REF!</f>
        <v>#REF!</v>
      </c>
      <c r="Q9" s="637"/>
      <c r="R9" s="637"/>
      <c r="S9" s="13" t="s">
        <v>7</v>
      </c>
      <c r="V9" s="11"/>
      <c r="W9" s="11"/>
      <c r="X9" s="11"/>
    </row>
    <row r="10" spans="1:24" s="9" customFormat="1" ht="15.75" hidden="1">
      <c r="A10" s="14"/>
      <c r="B10" s="14"/>
      <c r="C10" s="15"/>
      <c r="D10" s="15"/>
      <c r="E10" s="638"/>
      <c r="F10" s="638"/>
      <c r="G10" s="638"/>
      <c r="N10" s="16"/>
      <c r="P10" s="17"/>
      <c r="Q10" s="18"/>
      <c r="R10" s="18"/>
      <c r="T10" s="13"/>
      <c r="V10" s="11"/>
      <c r="W10" s="11"/>
      <c r="X10" s="11"/>
    </row>
    <row r="11" spans="1:24" s="9" customFormat="1" ht="14.25" hidden="1">
      <c r="A11" s="19" t="s">
        <v>2</v>
      </c>
      <c r="B11" s="19"/>
      <c r="C11" s="19"/>
      <c r="D11" s="641">
        <v>188004</v>
      </c>
      <c r="E11" s="642"/>
      <c r="F11" s="642"/>
      <c r="G11" s="20" t="s">
        <v>3</v>
      </c>
      <c r="H11" s="21"/>
      <c r="I11" s="21"/>
      <c r="J11" s="20"/>
      <c r="K11" s="20"/>
      <c r="L11" s="20"/>
      <c r="M11" s="22" t="s">
        <v>282</v>
      </c>
      <c r="N11" s="643">
        <f>1.02*1.05*1.0657</f>
        <v>1.1413647000000002</v>
      </c>
      <c r="O11" s="644"/>
      <c r="P11" s="644"/>
      <c r="Q11" s="21"/>
      <c r="R11" s="23"/>
      <c r="S11" s="21"/>
      <c r="T11" s="21"/>
      <c r="V11" s="11"/>
      <c r="W11" s="11"/>
      <c r="X11" s="11"/>
    </row>
    <row r="12" spans="1:24" s="9" customFormat="1" hidden="1">
      <c r="A12" s="19"/>
      <c r="B12" s="19"/>
      <c r="C12" s="19"/>
      <c r="D12" s="19"/>
      <c r="E12" s="24"/>
      <c r="F12" s="24"/>
      <c r="G12" s="20"/>
      <c r="H12" s="21"/>
      <c r="I12" s="21"/>
      <c r="J12" s="20"/>
      <c r="K12" s="20"/>
      <c r="L12" s="20"/>
      <c r="M12" s="21"/>
      <c r="N12" s="21"/>
      <c r="O12" s="21"/>
      <c r="P12" s="21"/>
      <c r="Q12" s="21"/>
      <c r="R12" s="23"/>
      <c r="S12" s="21"/>
      <c r="T12" s="21"/>
      <c r="V12" s="11"/>
      <c r="W12" s="11"/>
      <c r="X12" s="11"/>
    </row>
    <row r="13" spans="1:24" s="9" customFormat="1" hidden="1">
      <c r="A13" s="19" t="s">
        <v>21</v>
      </c>
      <c r="B13" s="25"/>
      <c r="C13" s="25"/>
      <c r="D13" s="25"/>
      <c r="E13" s="25"/>
      <c r="F13" s="19"/>
      <c r="G13" s="26" t="s">
        <v>22</v>
      </c>
      <c r="H13" s="19"/>
      <c r="I13" s="27"/>
      <c r="J13" s="618">
        <v>1736.76</v>
      </c>
      <c r="K13" s="619"/>
      <c r="L13" s="619"/>
      <c r="M13" s="28"/>
      <c r="N13" s="26"/>
      <c r="O13" s="26"/>
      <c r="P13" s="26" t="s">
        <v>23</v>
      </c>
      <c r="Q13" s="618">
        <v>2634.81</v>
      </c>
      <c r="R13" s="619"/>
      <c r="S13" s="619"/>
      <c r="T13" s="27"/>
      <c r="V13" s="11"/>
      <c r="W13" s="11"/>
      <c r="X13" s="11"/>
    </row>
    <row r="14" spans="1:24" s="1" customFormat="1" ht="13.5" thickBot="1">
      <c r="R14" s="29"/>
      <c r="V14" s="2"/>
      <c r="W14" s="2"/>
      <c r="X14" s="2"/>
    </row>
    <row r="15" spans="1:24" s="30" customFormat="1" ht="18" customHeight="1" thickTop="1">
      <c r="A15" s="620" t="s">
        <v>16</v>
      </c>
      <c r="B15" s="623" t="s">
        <v>5</v>
      </c>
      <c r="C15" s="626" t="s">
        <v>6</v>
      </c>
      <c r="D15" s="604" t="s">
        <v>8</v>
      </c>
      <c r="E15" s="604" t="s">
        <v>9</v>
      </c>
      <c r="F15" s="591" t="s">
        <v>17</v>
      </c>
      <c r="G15" s="592"/>
      <c r="H15" s="592"/>
      <c r="I15" s="591" t="s">
        <v>19</v>
      </c>
      <c r="J15" s="592"/>
      <c r="K15" s="593"/>
      <c r="L15" s="600" t="s">
        <v>11</v>
      </c>
      <c r="M15" s="601"/>
      <c r="N15" s="601"/>
      <c r="O15" s="601"/>
      <c r="P15" s="601"/>
      <c r="Q15" s="601"/>
      <c r="R15" s="591" t="s">
        <v>18</v>
      </c>
      <c r="S15" s="604" t="s">
        <v>12</v>
      </c>
      <c r="T15" s="607" t="s">
        <v>13</v>
      </c>
    </row>
    <row r="16" spans="1:24" s="30" customFormat="1" ht="22.5" customHeight="1">
      <c r="A16" s="621"/>
      <c r="B16" s="624"/>
      <c r="C16" s="627"/>
      <c r="D16" s="629"/>
      <c r="E16" s="629"/>
      <c r="F16" s="594"/>
      <c r="G16" s="595"/>
      <c r="H16" s="595"/>
      <c r="I16" s="594"/>
      <c r="J16" s="595"/>
      <c r="K16" s="596"/>
      <c r="L16" s="610" t="s">
        <v>10</v>
      </c>
      <c r="M16" s="613" t="s">
        <v>8</v>
      </c>
      <c r="N16" s="615" t="s">
        <v>20</v>
      </c>
      <c r="O16" s="615" t="s">
        <v>14</v>
      </c>
      <c r="P16" s="615" t="s">
        <v>15</v>
      </c>
      <c r="Q16" s="615" t="s">
        <v>157</v>
      </c>
      <c r="R16" s="602"/>
      <c r="S16" s="605"/>
      <c r="T16" s="608"/>
    </row>
    <row r="17" spans="1:21" s="30" customFormat="1" ht="22.5" customHeight="1">
      <c r="A17" s="621"/>
      <c r="B17" s="624"/>
      <c r="C17" s="627"/>
      <c r="D17" s="629"/>
      <c r="E17" s="629"/>
      <c r="F17" s="594"/>
      <c r="G17" s="595"/>
      <c r="H17" s="595"/>
      <c r="I17" s="594"/>
      <c r="J17" s="595"/>
      <c r="K17" s="596"/>
      <c r="L17" s="611"/>
      <c r="M17" s="614"/>
      <c r="N17" s="605"/>
      <c r="O17" s="605"/>
      <c r="P17" s="616"/>
      <c r="Q17" s="631"/>
      <c r="R17" s="602"/>
      <c r="S17" s="605"/>
      <c r="T17" s="608"/>
    </row>
    <row r="18" spans="1:21" s="30" customFormat="1" ht="22.5" customHeight="1">
      <c r="A18" s="621"/>
      <c r="B18" s="624"/>
      <c r="C18" s="627"/>
      <c r="D18" s="629"/>
      <c r="E18" s="629"/>
      <c r="F18" s="594"/>
      <c r="G18" s="595"/>
      <c r="H18" s="595"/>
      <c r="I18" s="594"/>
      <c r="J18" s="595"/>
      <c r="K18" s="596"/>
      <c r="L18" s="611"/>
      <c r="M18" s="614"/>
      <c r="N18" s="605"/>
      <c r="O18" s="605"/>
      <c r="P18" s="616"/>
      <c r="Q18" s="631"/>
      <c r="R18" s="602"/>
      <c r="S18" s="605"/>
      <c r="T18" s="608"/>
    </row>
    <row r="19" spans="1:21" s="30" customFormat="1" ht="22.5" customHeight="1">
      <c r="A19" s="622"/>
      <c r="B19" s="625"/>
      <c r="C19" s="628"/>
      <c r="D19" s="630"/>
      <c r="E19" s="630"/>
      <c r="F19" s="597"/>
      <c r="G19" s="598"/>
      <c r="H19" s="598"/>
      <c r="I19" s="597"/>
      <c r="J19" s="598"/>
      <c r="K19" s="599"/>
      <c r="L19" s="612"/>
      <c r="M19" s="614"/>
      <c r="N19" s="606"/>
      <c r="O19" s="606"/>
      <c r="P19" s="617"/>
      <c r="Q19" s="632"/>
      <c r="R19" s="603"/>
      <c r="S19" s="606"/>
      <c r="T19" s="609"/>
    </row>
    <row r="20" spans="1:21" s="30" customFormat="1" ht="22.5" customHeight="1">
      <c r="A20" s="31"/>
      <c r="B20" s="589" t="s">
        <v>71</v>
      </c>
      <c r="C20" s="590"/>
      <c r="D20" s="32"/>
      <c r="E20" s="33"/>
      <c r="F20" s="32"/>
      <c r="G20" s="32"/>
      <c r="H20" s="32"/>
      <c r="I20" s="34"/>
      <c r="J20" s="32"/>
      <c r="K20" s="35"/>
      <c r="L20" s="36"/>
      <c r="M20" s="37"/>
      <c r="N20" s="38"/>
      <c r="O20" s="38"/>
      <c r="P20" s="37"/>
      <c r="Q20" s="39"/>
      <c r="R20" s="40"/>
      <c r="S20" s="41"/>
      <c r="T20" s="518">
        <v>1.7899999999999999E-2</v>
      </c>
    </row>
    <row r="21" spans="1:21" ht="12.75" customHeight="1">
      <c r="A21" s="42">
        <v>1</v>
      </c>
      <c r="B21" s="43" t="s">
        <v>101</v>
      </c>
      <c r="C21" s="541" t="s">
        <v>100</v>
      </c>
      <c r="D21" s="44" t="s">
        <v>33</v>
      </c>
      <c r="E21" s="45">
        <v>1.1000000000000001</v>
      </c>
      <c r="F21" s="46"/>
      <c r="G21" s="47">
        <f>13.8*0.6</f>
        <v>8.2799999999999994</v>
      </c>
      <c r="H21" s="46"/>
      <c r="I21" s="48"/>
      <c r="J21" s="47">
        <f>32.1*0.7</f>
        <v>22.47</v>
      </c>
      <c r="K21" s="49"/>
      <c r="L21" s="50"/>
      <c r="M21" s="51"/>
      <c r="N21" s="52"/>
      <c r="O21" s="52"/>
      <c r="P21" s="46"/>
      <c r="Q21" s="53"/>
      <c r="R21" s="54">
        <f>G22+J22</f>
        <v>73.584553499999998</v>
      </c>
      <c r="S21" s="533"/>
      <c r="T21" s="543"/>
      <c r="U21" s="55">
        <f>1.133*1.11*1.01*1.009*1.015</f>
        <v>1.3008627290504997</v>
      </c>
    </row>
    <row r="22" spans="1:21" ht="11.25" customHeight="1">
      <c r="A22" s="58"/>
      <c r="B22" s="59"/>
      <c r="C22" s="542"/>
      <c r="E22" s="61"/>
      <c r="G22" s="47">
        <f>G21*$J$13/1000</f>
        <v>14.3803728</v>
      </c>
      <c r="I22" s="63"/>
      <c r="J22" s="47">
        <f>J21*$Q$13/1000</f>
        <v>59.204180699999995</v>
      </c>
      <c r="K22" s="64"/>
      <c r="L22" s="577"/>
      <c r="M22" s="65"/>
      <c r="N22" s="66"/>
      <c r="O22" s="67"/>
      <c r="P22" s="68"/>
      <c r="Q22" s="69"/>
      <c r="R22" s="533">
        <f>SUM(Q22:Q23)</f>
        <v>0</v>
      </c>
      <c r="S22" s="534"/>
      <c r="T22" s="544"/>
      <c r="U22" s="55">
        <f t="shared" ref="U22:U85" si="0">1.133*1.11*1.01*1.009*1.015</f>
        <v>1.3008627290504997</v>
      </c>
    </row>
    <row r="23" spans="1:21" ht="12.75" hidden="1" customHeight="1">
      <c r="A23" s="58"/>
      <c r="C23" s="542"/>
      <c r="E23" s="61"/>
      <c r="I23" s="63"/>
      <c r="K23" s="64"/>
      <c r="L23" s="581"/>
      <c r="M23" s="72"/>
      <c r="N23" s="73"/>
      <c r="O23" s="73"/>
      <c r="P23" s="74"/>
      <c r="Q23" s="75"/>
      <c r="R23" s="534"/>
      <c r="S23" s="534"/>
      <c r="T23" s="544"/>
      <c r="U23" s="55">
        <f t="shared" si="0"/>
        <v>1.3008627290504997</v>
      </c>
    </row>
    <row r="24" spans="1:21" ht="12.75" customHeight="1">
      <c r="A24" s="76"/>
      <c r="B24" s="77"/>
      <c r="C24" s="78"/>
      <c r="D24" s="79"/>
      <c r="E24" s="80"/>
      <c r="F24" s="81"/>
      <c r="G24" s="82"/>
      <c r="H24" s="81"/>
      <c r="I24" s="83"/>
      <c r="J24" s="82"/>
      <c r="K24" s="84"/>
      <c r="L24" s="85"/>
      <c r="M24" s="86"/>
      <c r="N24" s="87"/>
      <c r="O24" s="87"/>
      <c r="P24" s="81"/>
      <c r="Q24" s="88"/>
      <c r="R24" s="80"/>
      <c r="S24" s="80"/>
      <c r="T24" s="89"/>
      <c r="U24" s="55">
        <f t="shared" si="0"/>
        <v>1.3008627290504997</v>
      </c>
    </row>
    <row r="25" spans="1:21" ht="12.75" customHeight="1">
      <c r="A25" s="42">
        <f>A21+1</f>
        <v>2</v>
      </c>
      <c r="B25" s="43" t="s">
        <v>101</v>
      </c>
      <c r="C25" s="541" t="s">
        <v>102</v>
      </c>
      <c r="D25" s="44" t="s">
        <v>33</v>
      </c>
      <c r="E25" s="45">
        <v>0.42</v>
      </c>
      <c r="F25" s="46"/>
      <c r="G25" s="47">
        <f>13.8*0.6</f>
        <v>8.2799999999999994</v>
      </c>
      <c r="H25" s="46"/>
      <c r="I25" s="48"/>
      <c r="J25" s="47">
        <f>32.1*0.7</f>
        <v>22.47</v>
      </c>
      <c r="K25" s="49"/>
      <c r="L25" s="50"/>
      <c r="M25" s="51"/>
      <c r="N25" s="52"/>
      <c r="O25" s="52"/>
      <c r="P25" s="46"/>
      <c r="Q25" s="53"/>
      <c r="R25" s="54">
        <f>G26+J26</f>
        <v>73.584553499999998</v>
      </c>
      <c r="S25" s="533"/>
      <c r="T25" s="543"/>
      <c r="U25" s="55">
        <f t="shared" si="0"/>
        <v>1.3008627290504997</v>
      </c>
    </row>
    <row r="26" spans="1:21" ht="12.75" customHeight="1">
      <c r="A26" s="58"/>
      <c r="B26" s="59"/>
      <c r="C26" s="542"/>
      <c r="E26" s="61"/>
      <c r="G26" s="47">
        <f>G25*$J$13/1000</f>
        <v>14.3803728</v>
      </c>
      <c r="I26" s="63"/>
      <c r="J26" s="47">
        <f>J25*$Q$13/1000</f>
        <v>59.204180699999995</v>
      </c>
      <c r="K26" s="64"/>
      <c r="L26" s="577"/>
      <c r="M26" s="65"/>
      <c r="N26" s="66"/>
      <c r="O26" s="67"/>
      <c r="P26" s="68"/>
      <c r="Q26" s="69"/>
      <c r="R26" s="533">
        <f>SUM(Q26:Q27)</f>
        <v>0</v>
      </c>
      <c r="S26" s="534"/>
      <c r="T26" s="544"/>
      <c r="U26" s="55">
        <f t="shared" si="0"/>
        <v>1.3008627290504997</v>
      </c>
    </row>
    <row r="27" spans="1:21" ht="12.75" hidden="1" customHeight="1">
      <c r="A27" s="58"/>
      <c r="C27" s="542"/>
      <c r="E27" s="61"/>
      <c r="I27" s="63"/>
      <c r="K27" s="64"/>
      <c r="L27" s="581"/>
      <c r="M27" s="72"/>
      <c r="N27" s="73"/>
      <c r="O27" s="73"/>
      <c r="P27" s="74"/>
      <c r="Q27" s="75"/>
      <c r="R27" s="534"/>
      <c r="S27" s="534"/>
      <c r="T27" s="544"/>
      <c r="U27" s="55">
        <f t="shared" si="0"/>
        <v>1.3008627290504997</v>
      </c>
    </row>
    <row r="28" spans="1:21" ht="12.75" customHeight="1">
      <c r="A28" s="76"/>
      <c r="B28" s="77"/>
      <c r="C28" s="78"/>
      <c r="D28" s="79"/>
      <c r="E28" s="80"/>
      <c r="F28" s="81"/>
      <c r="G28" s="82"/>
      <c r="H28" s="81"/>
      <c r="I28" s="83"/>
      <c r="J28" s="82"/>
      <c r="K28" s="84"/>
      <c r="L28" s="85"/>
      <c r="M28" s="86"/>
      <c r="N28" s="87"/>
      <c r="O28" s="87"/>
      <c r="P28" s="81"/>
      <c r="Q28" s="88"/>
      <c r="R28" s="80"/>
      <c r="S28" s="80"/>
      <c r="T28" s="89"/>
      <c r="U28" s="55">
        <f t="shared" si="0"/>
        <v>1.3008627290504997</v>
      </c>
    </row>
    <row r="29" spans="1:21" ht="14.25" customHeight="1">
      <c r="A29" s="42">
        <f>A25+1</f>
        <v>3</v>
      </c>
      <c r="B29" s="43" t="s">
        <v>210</v>
      </c>
      <c r="C29" s="541" t="s">
        <v>209</v>
      </c>
      <c r="D29" s="44" t="s">
        <v>37</v>
      </c>
      <c r="E29" s="90">
        <f>1500</f>
        <v>1500</v>
      </c>
      <c r="F29" s="46"/>
      <c r="G29" s="47"/>
      <c r="H29" s="46"/>
      <c r="I29" s="48"/>
      <c r="J29" s="47">
        <f>3.92/100</f>
        <v>3.9199999999999999E-2</v>
      </c>
      <c r="K29" s="49"/>
      <c r="L29" s="91"/>
      <c r="M29" s="92"/>
      <c r="N29" s="93"/>
      <c r="O29" s="93"/>
      <c r="P29" s="94"/>
      <c r="Q29" s="95"/>
      <c r="R29" s="54">
        <f>G30+J30</f>
        <v>0.10328455199999999</v>
      </c>
      <c r="S29" s="533"/>
      <c r="T29" s="96"/>
      <c r="U29" s="55">
        <f t="shared" si="0"/>
        <v>1.3008627290504997</v>
      </c>
    </row>
    <row r="30" spans="1:21" ht="16.5" customHeight="1">
      <c r="A30" s="58"/>
      <c r="B30" s="59"/>
      <c r="C30" s="542"/>
      <c r="E30" s="61"/>
      <c r="G30" s="47">
        <f>G29*$J$13/1000</f>
        <v>0</v>
      </c>
      <c r="I30" s="63"/>
      <c r="J30" s="47">
        <f>J29*$Q$13/1000</f>
        <v>0.10328455199999999</v>
      </c>
      <c r="K30" s="64"/>
      <c r="O30" s="99"/>
      <c r="Q30" s="100"/>
      <c r="R30" s="61"/>
      <c r="S30" s="534"/>
      <c r="T30" s="101"/>
      <c r="U30" s="55">
        <f t="shared" si="0"/>
        <v>1.3008627290504997</v>
      </c>
    </row>
    <row r="31" spans="1:21" ht="12.75" customHeight="1">
      <c r="A31" s="76"/>
      <c r="B31" s="77"/>
      <c r="C31" s="78"/>
      <c r="D31" s="79"/>
      <c r="E31" s="80"/>
      <c r="F31" s="81"/>
      <c r="G31" s="82"/>
      <c r="H31" s="81"/>
      <c r="I31" s="83"/>
      <c r="J31" s="82"/>
      <c r="K31" s="84"/>
      <c r="L31" s="85"/>
      <c r="M31" s="86"/>
      <c r="N31" s="87"/>
      <c r="O31" s="87"/>
      <c r="P31" s="81"/>
      <c r="Q31" s="88"/>
      <c r="R31" s="80"/>
      <c r="S31" s="534"/>
      <c r="T31" s="89"/>
      <c r="U31" s="55">
        <f t="shared" si="0"/>
        <v>1.3008627290504997</v>
      </c>
    </row>
    <row r="32" spans="1:21" s="117" customFormat="1" ht="12.75" customHeight="1">
      <c r="A32" s="102">
        <f>A29+1</f>
        <v>4</v>
      </c>
      <c r="B32" s="103" t="s">
        <v>70</v>
      </c>
      <c r="C32" s="548" t="s">
        <v>69</v>
      </c>
      <c r="D32" s="104" t="s">
        <v>33</v>
      </c>
      <c r="E32" s="105">
        <f>E21+E25+E29*7.92/1000</f>
        <v>13.4</v>
      </c>
      <c r="F32" s="106"/>
      <c r="G32" s="107">
        <v>0.15</v>
      </c>
      <c r="H32" s="106"/>
      <c r="I32" s="108"/>
      <c r="J32" s="107">
        <v>0.5</v>
      </c>
      <c r="K32" s="109"/>
      <c r="L32" s="110"/>
      <c r="M32" s="111"/>
      <c r="N32" s="112"/>
      <c r="O32" s="112"/>
      <c r="P32" s="113"/>
      <c r="Q32" s="114"/>
      <c r="R32" s="115">
        <f>G33+J33</f>
        <v>1.5779190000000001</v>
      </c>
      <c r="S32" s="533"/>
      <c r="T32" s="116"/>
      <c r="U32" s="55">
        <f t="shared" si="0"/>
        <v>1.3008627290504997</v>
      </c>
    </row>
    <row r="33" spans="1:21" s="117" customFormat="1" ht="12" customHeight="1">
      <c r="A33" s="118"/>
      <c r="B33" s="119"/>
      <c r="C33" s="549"/>
      <c r="D33" s="120"/>
      <c r="E33" s="121"/>
      <c r="F33" s="122"/>
      <c r="G33" s="107">
        <f>G32*$J$13/1000</f>
        <v>0.26051400000000002</v>
      </c>
      <c r="H33" s="122"/>
      <c r="I33" s="123"/>
      <c r="J33" s="107">
        <f>J32*$Q$13/1000</f>
        <v>1.3174049999999999</v>
      </c>
      <c r="K33" s="124"/>
      <c r="L33" s="125"/>
      <c r="M33" s="126"/>
      <c r="N33" s="127"/>
      <c r="O33" s="127"/>
      <c r="P33" s="122"/>
      <c r="Q33" s="128"/>
      <c r="R33" s="121"/>
      <c r="S33" s="534"/>
      <c r="T33" s="129"/>
      <c r="U33" s="55">
        <f t="shared" si="0"/>
        <v>1.3008627290504997</v>
      </c>
    </row>
    <row r="34" spans="1:21" s="117" customFormat="1" ht="12.75" hidden="1" customHeight="1">
      <c r="A34" s="118"/>
      <c r="B34" s="119"/>
      <c r="C34" s="549"/>
      <c r="D34" s="120"/>
      <c r="E34" s="121"/>
      <c r="F34" s="122"/>
      <c r="G34" s="130"/>
      <c r="H34" s="122"/>
      <c r="I34" s="123"/>
      <c r="J34" s="130"/>
      <c r="K34" s="124"/>
      <c r="L34" s="125"/>
      <c r="M34" s="126"/>
      <c r="N34" s="127"/>
      <c r="O34" s="127"/>
      <c r="P34" s="122"/>
      <c r="Q34" s="128"/>
      <c r="R34" s="121"/>
      <c r="S34" s="534"/>
      <c r="T34" s="129"/>
      <c r="U34" s="55">
        <f t="shared" si="0"/>
        <v>1.3008627290504997</v>
      </c>
    </row>
    <row r="35" spans="1:21" s="117" customFormat="1" ht="12.75" customHeight="1">
      <c r="A35" s="131"/>
      <c r="B35" s="132"/>
      <c r="C35" s="133"/>
      <c r="D35" s="134"/>
      <c r="E35" s="135"/>
      <c r="F35" s="136"/>
      <c r="G35" s="137"/>
      <c r="H35" s="136"/>
      <c r="I35" s="138"/>
      <c r="J35" s="137"/>
      <c r="K35" s="139"/>
      <c r="L35" s="140"/>
      <c r="M35" s="141"/>
      <c r="N35" s="142"/>
      <c r="O35" s="142"/>
      <c r="P35" s="136"/>
      <c r="Q35" s="143"/>
      <c r="R35" s="135"/>
      <c r="S35" s="135"/>
      <c r="T35" s="144"/>
      <c r="U35" s="55">
        <f t="shared" si="0"/>
        <v>1.3008627290504997</v>
      </c>
    </row>
    <row r="36" spans="1:21" s="117" customFormat="1" ht="12.75" customHeight="1">
      <c r="A36" s="145"/>
      <c r="B36" s="146"/>
      <c r="C36" s="147" t="s">
        <v>25</v>
      </c>
      <c r="D36" s="148"/>
      <c r="E36" s="149"/>
      <c r="F36" s="150"/>
      <c r="G36" s="151"/>
      <c r="H36" s="150"/>
      <c r="I36" s="152"/>
      <c r="J36" s="151"/>
      <c r="K36" s="153"/>
      <c r="L36" s="154"/>
      <c r="M36" s="155"/>
      <c r="N36" s="156"/>
      <c r="O36" s="157"/>
      <c r="P36" s="150"/>
      <c r="Q36" s="151"/>
      <c r="R36" s="157"/>
      <c r="S36" s="157"/>
      <c r="T36" s="158">
        <f>SUM(T21:T35)</f>
        <v>0</v>
      </c>
      <c r="U36" s="55">
        <f t="shared" si="0"/>
        <v>1.3008627290504997</v>
      </c>
    </row>
    <row r="37" spans="1:21" s="117" customFormat="1" ht="28.5" customHeight="1">
      <c r="A37" s="118"/>
      <c r="B37" s="589" t="s">
        <v>211</v>
      </c>
      <c r="C37" s="590"/>
      <c r="D37" s="120"/>
      <c r="E37" s="121"/>
      <c r="F37" s="122"/>
      <c r="G37" s="130"/>
      <c r="H37" s="122"/>
      <c r="I37" s="123"/>
      <c r="J37" s="130"/>
      <c r="K37" s="124"/>
      <c r="L37" s="125"/>
      <c r="M37" s="126"/>
      <c r="N37" s="127"/>
      <c r="O37" s="127"/>
      <c r="P37" s="122"/>
      <c r="Q37" s="143"/>
      <c r="R37" s="135"/>
      <c r="S37" s="121"/>
      <c r="T37" s="650">
        <v>0.46129999999999999</v>
      </c>
      <c r="U37" s="55">
        <f t="shared" si="0"/>
        <v>1.3008627290504997</v>
      </c>
    </row>
    <row r="38" spans="1:21" ht="12.75" customHeight="1">
      <c r="A38" s="42">
        <f>1</f>
        <v>1</v>
      </c>
      <c r="B38" s="587" t="s">
        <v>46</v>
      </c>
      <c r="C38" s="541" t="s">
        <v>73</v>
      </c>
      <c r="D38" s="44" t="s">
        <v>24</v>
      </c>
      <c r="E38" s="90">
        <f>326/100</f>
        <v>3.26</v>
      </c>
      <c r="F38" s="46"/>
      <c r="G38" s="47">
        <v>59.2</v>
      </c>
      <c r="H38" s="46"/>
      <c r="I38" s="48"/>
      <c r="J38" s="47">
        <v>0.71</v>
      </c>
      <c r="K38" s="49"/>
      <c r="L38" s="50"/>
      <c r="M38" s="51"/>
      <c r="N38" s="52"/>
      <c r="O38" s="159"/>
      <c r="P38" s="46"/>
      <c r="Q38" s="95"/>
      <c r="R38" s="54">
        <f>G39+J39</f>
        <v>104.68690710000001</v>
      </c>
      <c r="S38" s="533"/>
      <c r="T38" s="543"/>
      <c r="U38" s="55">
        <f t="shared" si="0"/>
        <v>1.3008627290504997</v>
      </c>
    </row>
    <row r="39" spans="1:21" ht="14.25" customHeight="1">
      <c r="A39" s="58"/>
      <c r="B39" s="588"/>
      <c r="C39" s="542"/>
      <c r="E39" s="61"/>
      <c r="G39" s="47">
        <f>G38*$J$13/1000</f>
        <v>102.81619200000002</v>
      </c>
      <c r="I39" s="63"/>
      <c r="J39" s="47">
        <f>J38*$Q$13/1000</f>
        <v>1.8707151</v>
      </c>
      <c r="K39" s="64"/>
      <c r="L39" s="160" t="s">
        <v>97</v>
      </c>
      <c r="M39" s="65" t="s">
        <v>26</v>
      </c>
      <c r="N39" s="161">
        <v>100</v>
      </c>
      <c r="O39" s="161">
        <f>E38*N39</f>
        <v>326</v>
      </c>
      <c r="P39" s="68">
        <v>5.6669999999999998</v>
      </c>
      <c r="Q39" s="75">
        <f>N39*P39*$N$11</f>
        <v>646.81137549000005</v>
      </c>
      <c r="R39" s="533">
        <f>SUM(Q39:Q41)</f>
        <v>830.32033436541008</v>
      </c>
      <c r="S39" s="534"/>
      <c r="T39" s="544"/>
      <c r="U39" s="55">
        <f t="shared" si="0"/>
        <v>1.3008627290504997</v>
      </c>
    </row>
    <row r="40" spans="1:21" ht="12.75" hidden="1" customHeight="1">
      <c r="A40" s="58"/>
      <c r="B40" s="59"/>
      <c r="C40" s="542"/>
      <c r="E40" s="61"/>
      <c r="I40" s="63"/>
      <c r="K40" s="64"/>
      <c r="L40" s="162" t="s">
        <v>47</v>
      </c>
      <c r="M40" s="163" t="s">
        <v>35</v>
      </c>
      <c r="N40" s="164">
        <v>5.9</v>
      </c>
      <c r="O40" s="164">
        <f>E38*N40</f>
        <v>19.233999999999998</v>
      </c>
      <c r="P40" s="165">
        <v>27.016999999999999</v>
      </c>
      <c r="Q40" s="166">
        <f>N40*P40*$N$11</f>
        <v>181.93387558941006</v>
      </c>
      <c r="R40" s="534"/>
      <c r="S40" s="534"/>
      <c r="T40" s="544"/>
      <c r="U40" s="55">
        <f t="shared" si="0"/>
        <v>1.3008627290504997</v>
      </c>
    </row>
    <row r="41" spans="1:21" ht="12.75" hidden="1" customHeight="1">
      <c r="A41" s="58"/>
      <c r="C41" s="542"/>
      <c r="E41" s="61"/>
      <c r="I41" s="63"/>
      <c r="K41" s="64"/>
      <c r="L41" s="167" t="s">
        <v>40</v>
      </c>
      <c r="M41" s="168" t="s">
        <v>35</v>
      </c>
      <c r="N41" s="169">
        <v>0.06</v>
      </c>
      <c r="O41" s="169">
        <f>E38*N41</f>
        <v>0.19559999999999997</v>
      </c>
      <c r="P41" s="170">
        <v>23</v>
      </c>
      <c r="Q41" s="166">
        <f>N41*P41*$N$11</f>
        <v>1.5750832860000001</v>
      </c>
      <c r="R41" s="534"/>
      <c r="S41" s="534"/>
      <c r="T41" s="544"/>
      <c r="U41" s="55">
        <f t="shared" si="0"/>
        <v>1.3008627290504997</v>
      </c>
    </row>
    <row r="42" spans="1:21" ht="12.75" customHeight="1">
      <c r="A42" s="76"/>
      <c r="B42" s="77"/>
      <c r="C42" s="78"/>
      <c r="D42" s="79"/>
      <c r="E42" s="80"/>
      <c r="F42" s="81"/>
      <c r="G42" s="82"/>
      <c r="H42" s="81"/>
      <c r="I42" s="83"/>
      <c r="J42" s="82"/>
      <c r="K42" s="84"/>
      <c r="L42" s="85"/>
      <c r="M42" s="86"/>
      <c r="N42" s="171"/>
      <c r="O42" s="172"/>
      <c r="P42" s="81"/>
      <c r="Q42" s="88"/>
      <c r="R42" s="80"/>
      <c r="S42" s="80"/>
      <c r="T42" s="89"/>
      <c r="U42" s="55">
        <f t="shared" si="0"/>
        <v>1.3008627290504997</v>
      </c>
    </row>
    <row r="43" spans="1:21" ht="12.75" customHeight="1">
      <c r="A43" s="42">
        <f>A38+1</f>
        <v>2</v>
      </c>
      <c r="B43" s="587" t="s">
        <v>72</v>
      </c>
      <c r="C43" s="541" t="s">
        <v>103</v>
      </c>
      <c r="D43" s="44" t="s">
        <v>24</v>
      </c>
      <c r="E43" s="90">
        <f>232/100</f>
        <v>2.3199999999999998</v>
      </c>
      <c r="F43" s="46"/>
      <c r="G43" s="47">
        <v>40.1</v>
      </c>
      <c r="H43" s="46"/>
      <c r="I43" s="48"/>
      <c r="J43" s="47">
        <v>0.71</v>
      </c>
      <c r="K43" s="49"/>
      <c r="L43" s="50"/>
      <c r="M43" s="51"/>
      <c r="N43" s="52"/>
      <c r="O43" s="159"/>
      <c r="P43" s="46"/>
      <c r="Q43" s="95"/>
      <c r="R43" s="54">
        <f>G44+J44</f>
        <v>71.514791099999997</v>
      </c>
      <c r="S43" s="533"/>
      <c r="T43" s="543"/>
      <c r="U43" s="55">
        <f t="shared" si="0"/>
        <v>1.3008627290504997</v>
      </c>
    </row>
    <row r="44" spans="1:21" ht="15" customHeight="1">
      <c r="A44" s="58"/>
      <c r="B44" s="588"/>
      <c r="C44" s="542"/>
      <c r="E44" s="61"/>
      <c r="G44" s="47">
        <f>G43*$J$13/1000</f>
        <v>69.644075999999998</v>
      </c>
      <c r="I44" s="63"/>
      <c r="J44" s="47">
        <f>J43*$Q$13/1000</f>
        <v>1.8707151</v>
      </c>
      <c r="K44" s="64"/>
      <c r="L44" s="160" t="s">
        <v>104</v>
      </c>
      <c r="M44" s="65" t="s">
        <v>26</v>
      </c>
      <c r="N44" s="161">
        <v>100</v>
      </c>
      <c r="O44" s="161">
        <f>E43*N44</f>
        <v>231.99999999999997</v>
      </c>
      <c r="P44" s="68">
        <v>1.67</v>
      </c>
      <c r="Q44" s="75">
        <f>N44*P44*$N$11</f>
        <v>190.60790490000005</v>
      </c>
      <c r="R44" s="533">
        <f>SUM(Q44:Q46)</f>
        <v>374.11686377541014</v>
      </c>
      <c r="S44" s="534"/>
      <c r="T44" s="544"/>
      <c r="U44" s="55">
        <f t="shared" si="0"/>
        <v>1.3008627290504997</v>
      </c>
    </row>
    <row r="45" spans="1:21" ht="12.75" hidden="1" customHeight="1">
      <c r="A45" s="58"/>
      <c r="B45" s="59"/>
      <c r="C45" s="542"/>
      <c r="E45" s="61"/>
      <c r="I45" s="63"/>
      <c r="K45" s="64"/>
      <c r="L45" s="162" t="s">
        <v>47</v>
      </c>
      <c r="M45" s="163" t="s">
        <v>35</v>
      </c>
      <c r="N45" s="164">
        <v>5.9</v>
      </c>
      <c r="O45" s="164">
        <f>E43*N45</f>
        <v>13.688000000000001</v>
      </c>
      <c r="P45" s="165">
        <v>27.016999999999999</v>
      </c>
      <c r="Q45" s="166">
        <f>N45*P45*$N$11</f>
        <v>181.93387558941006</v>
      </c>
      <c r="R45" s="534"/>
      <c r="S45" s="534"/>
      <c r="T45" s="544"/>
      <c r="U45" s="55">
        <f t="shared" si="0"/>
        <v>1.3008627290504997</v>
      </c>
    </row>
    <row r="46" spans="1:21" ht="12.75" hidden="1" customHeight="1">
      <c r="A46" s="58"/>
      <c r="C46" s="542"/>
      <c r="E46" s="61"/>
      <c r="I46" s="63"/>
      <c r="K46" s="64"/>
      <c r="L46" s="167" t="s">
        <v>40</v>
      </c>
      <c r="M46" s="168" t="s">
        <v>35</v>
      </c>
      <c r="N46" s="169">
        <v>0.06</v>
      </c>
      <c r="O46" s="169">
        <f>E43*N46</f>
        <v>0.13919999999999999</v>
      </c>
      <c r="P46" s="170">
        <v>23</v>
      </c>
      <c r="Q46" s="166">
        <f>N46*P46*$N$11</f>
        <v>1.5750832860000001</v>
      </c>
      <c r="R46" s="534"/>
      <c r="S46" s="534"/>
      <c r="T46" s="544"/>
      <c r="U46" s="55">
        <f t="shared" si="0"/>
        <v>1.3008627290504997</v>
      </c>
    </row>
    <row r="47" spans="1:21" ht="12.75" customHeight="1">
      <c r="A47" s="76"/>
      <c r="B47" s="77"/>
      <c r="C47" s="78"/>
      <c r="D47" s="79"/>
      <c r="E47" s="80"/>
      <c r="F47" s="81"/>
      <c r="G47" s="82"/>
      <c r="H47" s="81"/>
      <c r="I47" s="83"/>
      <c r="J47" s="82"/>
      <c r="K47" s="84"/>
      <c r="L47" s="85"/>
      <c r="M47" s="86"/>
      <c r="N47" s="171"/>
      <c r="O47" s="172"/>
      <c r="P47" s="81"/>
      <c r="Q47" s="88"/>
      <c r="R47" s="80"/>
      <c r="S47" s="80"/>
      <c r="T47" s="89"/>
      <c r="U47" s="55">
        <f t="shared" si="0"/>
        <v>1.3008627290504997</v>
      </c>
    </row>
    <row r="48" spans="1:21" ht="12.75" customHeight="1">
      <c r="A48" s="42">
        <f>A43+1</f>
        <v>3</v>
      </c>
      <c r="B48" s="43" t="s">
        <v>34</v>
      </c>
      <c r="C48" s="541" t="s">
        <v>283</v>
      </c>
      <c r="D48" s="44" t="s">
        <v>35</v>
      </c>
      <c r="E48" s="90">
        <v>29.8</v>
      </c>
      <c r="F48" s="46"/>
      <c r="G48" s="47">
        <v>1.82</v>
      </c>
      <c r="H48" s="46"/>
      <c r="I48" s="48"/>
      <c r="J48" s="47">
        <v>1.06</v>
      </c>
      <c r="K48" s="49"/>
      <c r="L48" s="173"/>
      <c r="M48" s="92"/>
      <c r="N48" s="174"/>
      <c r="O48" s="175"/>
      <c r="P48" s="94"/>
      <c r="Q48" s="95"/>
      <c r="R48" s="54">
        <f>G49+J49</f>
        <v>5.9538018000000008</v>
      </c>
      <c r="S48" s="533"/>
      <c r="T48" s="543"/>
      <c r="U48" s="55">
        <f t="shared" si="0"/>
        <v>1.3008627290504997</v>
      </c>
    </row>
    <row r="49" spans="1:24" ht="12.75" customHeight="1">
      <c r="A49" s="58"/>
      <c r="B49" s="59" t="s">
        <v>41</v>
      </c>
      <c r="C49" s="542"/>
      <c r="E49" s="61"/>
      <c r="G49" s="47">
        <f>G48*$J$13/1000</f>
        <v>3.1609032000000004</v>
      </c>
      <c r="I49" s="63"/>
      <c r="J49" s="47">
        <f>J48*$Q$13/1000</f>
        <v>2.7928986</v>
      </c>
      <c r="K49" s="64"/>
      <c r="L49" s="176" t="s">
        <v>48</v>
      </c>
      <c r="M49" s="177" t="s">
        <v>35</v>
      </c>
      <c r="N49" s="178">
        <f>0.97+0.27</f>
        <v>1.24</v>
      </c>
      <c r="O49" s="178">
        <f>E48*N49</f>
        <v>36.951999999999998</v>
      </c>
      <c r="P49" s="179">
        <v>4.1669999999999998</v>
      </c>
      <c r="Q49" s="180">
        <f>N49*P49*$N$11</f>
        <v>5.8975227140760005</v>
      </c>
      <c r="R49" s="61">
        <f>SUM(Q49:Q49)</f>
        <v>5.8975227140760005</v>
      </c>
      <c r="S49" s="534"/>
      <c r="T49" s="544"/>
      <c r="U49" s="55">
        <f t="shared" si="0"/>
        <v>1.3008627290504997</v>
      </c>
    </row>
    <row r="50" spans="1:24" ht="12.75" customHeight="1">
      <c r="A50" s="76"/>
      <c r="B50" s="77"/>
      <c r="C50" s="78"/>
      <c r="D50" s="79"/>
      <c r="E50" s="80"/>
      <c r="F50" s="81"/>
      <c r="G50" s="82"/>
      <c r="H50" s="81"/>
      <c r="I50" s="83"/>
      <c r="J50" s="82"/>
      <c r="K50" s="84"/>
      <c r="L50" s="85"/>
      <c r="M50" s="86"/>
      <c r="N50" s="171"/>
      <c r="O50" s="172"/>
      <c r="P50" s="81"/>
      <c r="Q50" s="88"/>
      <c r="R50" s="80"/>
      <c r="S50" s="80"/>
      <c r="T50" s="89"/>
      <c r="U50" s="55">
        <f t="shared" si="0"/>
        <v>1.3008627290504997</v>
      </c>
    </row>
    <row r="51" spans="1:24" ht="12.75" customHeight="1">
      <c r="A51" s="42">
        <f>A48+1</f>
        <v>4</v>
      </c>
      <c r="B51" s="43" t="s">
        <v>44</v>
      </c>
      <c r="C51" s="541" t="s">
        <v>284</v>
      </c>
      <c r="D51" s="44" t="s">
        <v>35</v>
      </c>
      <c r="E51" s="90">
        <v>14.9</v>
      </c>
      <c r="F51" s="46"/>
      <c r="G51" s="47"/>
      <c r="H51" s="46"/>
      <c r="I51" s="48"/>
      <c r="J51" s="47"/>
      <c r="K51" s="49"/>
      <c r="L51" s="173"/>
      <c r="M51" s="92"/>
      <c r="N51" s="174"/>
      <c r="O51" s="175"/>
      <c r="P51" s="94"/>
      <c r="Q51" s="95"/>
      <c r="R51" s="54">
        <f>G52+J52</f>
        <v>0</v>
      </c>
      <c r="S51" s="533"/>
      <c r="T51" s="543"/>
      <c r="U51" s="55">
        <f t="shared" si="0"/>
        <v>1.3008627290504997</v>
      </c>
    </row>
    <row r="52" spans="1:24" ht="15.75" customHeight="1">
      <c r="A52" s="58"/>
      <c r="B52" s="59"/>
      <c r="C52" s="542"/>
      <c r="E52" s="61"/>
      <c r="G52" s="47"/>
      <c r="I52" s="63"/>
      <c r="J52" s="47"/>
      <c r="K52" s="64"/>
      <c r="L52" s="176" t="s">
        <v>74</v>
      </c>
      <c r="M52" s="181" t="s">
        <v>35</v>
      </c>
      <c r="N52" s="178">
        <v>1.01</v>
      </c>
      <c r="O52" s="178">
        <f>E51*N52</f>
        <v>15.049000000000001</v>
      </c>
      <c r="P52" s="179">
        <v>23</v>
      </c>
      <c r="Q52" s="180">
        <f>N52*P52*$N$11</f>
        <v>26.513901981000007</v>
      </c>
      <c r="R52" s="61">
        <f>SUM(Q52:Q52)</f>
        <v>26.513901981000007</v>
      </c>
      <c r="S52" s="534"/>
      <c r="T52" s="544"/>
      <c r="U52" s="55">
        <f t="shared" si="0"/>
        <v>1.3008627290504997</v>
      </c>
    </row>
    <row r="53" spans="1:24" ht="12.75" customHeight="1">
      <c r="A53" s="76"/>
      <c r="B53" s="77"/>
      <c r="C53" s="78"/>
      <c r="D53" s="79"/>
      <c r="E53" s="80"/>
      <c r="F53" s="81"/>
      <c r="G53" s="82"/>
      <c r="H53" s="81"/>
      <c r="I53" s="83"/>
      <c r="J53" s="82"/>
      <c r="K53" s="84"/>
      <c r="L53" s="85"/>
      <c r="M53" s="86"/>
      <c r="N53" s="171"/>
      <c r="O53" s="172"/>
      <c r="P53" s="81"/>
      <c r="Q53" s="88"/>
      <c r="R53" s="80"/>
      <c r="S53" s="80"/>
      <c r="T53" s="89"/>
      <c r="U53" s="55">
        <f t="shared" si="0"/>
        <v>1.3008627290504997</v>
      </c>
    </row>
    <row r="54" spans="1:24" ht="12.75" customHeight="1">
      <c r="A54" s="42">
        <f>A51+1</f>
        <v>5</v>
      </c>
      <c r="B54" s="43" t="s">
        <v>75</v>
      </c>
      <c r="C54" s="541" t="s">
        <v>285</v>
      </c>
      <c r="D54" s="44" t="s">
        <v>37</v>
      </c>
      <c r="E54" s="90">
        <v>298</v>
      </c>
      <c r="F54" s="46"/>
      <c r="G54" s="47">
        <f>43/100</f>
        <v>0.43</v>
      </c>
      <c r="H54" s="46"/>
      <c r="I54" s="48"/>
      <c r="J54" s="47">
        <f>10.4/100</f>
        <v>0.10400000000000001</v>
      </c>
      <c r="K54" s="49"/>
      <c r="L54" s="173"/>
      <c r="M54" s="92"/>
      <c r="N54" s="174"/>
      <c r="O54" s="175"/>
      <c r="P54" s="94"/>
      <c r="Q54" s="95"/>
      <c r="R54" s="54">
        <f>G55+J55</f>
        <v>1.0208270399999999</v>
      </c>
      <c r="S54" s="533"/>
      <c r="T54" s="543"/>
      <c r="U54" s="55">
        <f t="shared" si="0"/>
        <v>1.3008627290504997</v>
      </c>
    </row>
    <row r="55" spans="1:24" ht="12.75" customHeight="1">
      <c r="A55" s="58"/>
      <c r="B55" s="59" t="s">
        <v>41</v>
      </c>
      <c r="C55" s="542"/>
      <c r="E55" s="61"/>
      <c r="G55" s="47">
        <f>G54*$J$13/1000</f>
        <v>0.74680679999999999</v>
      </c>
      <c r="I55" s="63"/>
      <c r="J55" s="47">
        <f>J54*$Q$13/1000</f>
        <v>0.27402024000000003</v>
      </c>
      <c r="K55" s="64"/>
      <c r="L55" s="176" t="s">
        <v>76</v>
      </c>
      <c r="M55" s="177" t="s">
        <v>37</v>
      </c>
      <c r="N55" s="178">
        <f>0.97+0.27</f>
        <v>1.24</v>
      </c>
      <c r="O55" s="178">
        <f>E54*N55</f>
        <v>369.52</v>
      </c>
      <c r="P55" s="179">
        <v>3.6669999999999998</v>
      </c>
      <c r="Q55" s="180">
        <f>N55*P55*$N$11</f>
        <v>5.1898766000760004</v>
      </c>
      <c r="R55" s="61">
        <f>SUM(Q55:Q55)</f>
        <v>5.1898766000760004</v>
      </c>
      <c r="S55" s="534"/>
      <c r="T55" s="544"/>
      <c r="U55" s="55">
        <f t="shared" si="0"/>
        <v>1.3008627290504997</v>
      </c>
    </row>
    <row r="56" spans="1:24" ht="12.75" customHeight="1">
      <c r="A56" s="76"/>
      <c r="B56" s="77"/>
      <c r="C56" s="78"/>
      <c r="D56" s="79"/>
      <c r="E56" s="80"/>
      <c r="F56" s="81"/>
      <c r="G56" s="82"/>
      <c r="H56" s="81"/>
      <c r="I56" s="83"/>
      <c r="J56" s="82"/>
      <c r="K56" s="84"/>
      <c r="L56" s="85"/>
      <c r="M56" s="86"/>
      <c r="N56" s="171"/>
      <c r="O56" s="172"/>
      <c r="P56" s="81"/>
      <c r="Q56" s="88"/>
      <c r="R56" s="80"/>
      <c r="S56" s="80"/>
      <c r="T56" s="89"/>
      <c r="U56" s="55">
        <f t="shared" si="0"/>
        <v>1.3008627290504997</v>
      </c>
    </row>
    <row r="57" spans="1:24" ht="12.75" customHeight="1">
      <c r="A57" s="42">
        <f>A54+1</f>
        <v>6</v>
      </c>
      <c r="B57" s="43" t="s">
        <v>212</v>
      </c>
      <c r="C57" s="541" t="s">
        <v>213</v>
      </c>
      <c r="D57" s="44" t="s">
        <v>35</v>
      </c>
      <c r="E57" s="90">
        <v>39.5</v>
      </c>
      <c r="F57" s="46"/>
      <c r="G57" s="47">
        <v>1.62</v>
      </c>
      <c r="H57" s="46"/>
      <c r="I57" s="48"/>
      <c r="J57" s="47">
        <v>0</v>
      </c>
      <c r="K57" s="49"/>
      <c r="L57" s="173"/>
      <c r="M57" s="92"/>
      <c r="N57" s="93"/>
      <c r="O57" s="182"/>
      <c r="P57" s="94"/>
      <c r="Q57" s="95"/>
      <c r="R57" s="54">
        <f>G58+J58</f>
        <v>2.8135512000000005</v>
      </c>
      <c r="S57" s="533"/>
      <c r="T57" s="543"/>
      <c r="U57" s="55">
        <f t="shared" si="0"/>
        <v>1.3008627290504997</v>
      </c>
    </row>
    <row r="58" spans="1:24" ht="15.75" customHeight="1">
      <c r="A58" s="58"/>
      <c r="B58" s="59" t="s">
        <v>41</v>
      </c>
      <c r="C58" s="542"/>
      <c r="E58" s="61"/>
      <c r="G58" s="47">
        <f>G57*$J$13/1000</f>
        <v>2.8135512000000005</v>
      </c>
      <c r="I58" s="63"/>
      <c r="J58" s="47">
        <f>J57*$Q$13/1000</f>
        <v>0</v>
      </c>
      <c r="K58" s="64"/>
      <c r="L58" s="176" t="s">
        <v>214</v>
      </c>
      <c r="M58" s="177" t="s">
        <v>35</v>
      </c>
      <c r="N58" s="183">
        <v>1.02</v>
      </c>
      <c r="O58" s="183">
        <f>E57*N58</f>
        <v>40.29</v>
      </c>
      <c r="P58" s="179">
        <v>1.083</v>
      </c>
      <c r="Q58" s="180">
        <f>N58*P58*$N$11</f>
        <v>1.2608199295020002</v>
      </c>
      <c r="R58" s="61">
        <f>SUM(Q58:Q58)</f>
        <v>1.2608199295020002</v>
      </c>
      <c r="S58" s="534"/>
      <c r="T58" s="544"/>
      <c r="U58" s="55">
        <f t="shared" si="0"/>
        <v>1.3008627290504997</v>
      </c>
    </row>
    <row r="59" spans="1:24" ht="12.75" customHeight="1">
      <c r="A59" s="76"/>
      <c r="B59" s="77"/>
      <c r="C59" s="78"/>
      <c r="D59" s="79"/>
      <c r="E59" s="80"/>
      <c r="F59" s="81"/>
      <c r="G59" s="82"/>
      <c r="H59" s="81"/>
      <c r="I59" s="83"/>
      <c r="J59" s="82"/>
      <c r="K59" s="84"/>
      <c r="L59" s="85"/>
      <c r="M59" s="86"/>
      <c r="N59" s="87"/>
      <c r="O59" s="184"/>
      <c r="P59" s="81"/>
      <c r="Q59" s="88"/>
      <c r="R59" s="80"/>
      <c r="S59" s="80"/>
      <c r="T59" s="89"/>
      <c r="U59" s="55">
        <f t="shared" si="0"/>
        <v>1.3008627290504997</v>
      </c>
    </row>
    <row r="60" spans="1:24" s="117" customFormat="1" ht="12.75" customHeight="1">
      <c r="A60" s="102">
        <f>A57+1</f>
        <v>7</v>
      </c>
      <c r="B60" s="43" t="s">
        <v>216</v>
      </c>
      <c r="C60" s="548" t="s">
        <v>217</v>
      </c>
      <c r="D60" s="104" t="s">
        <v>130</v>
      </c>
      <c r="E60" s="105">
        <f>80/1000</f>
        <v>0.08</v>
      </c>
      <c r="F60" s="106"/>
      <c r="G60" s="107">
        <v>6.49</v>
      </c>
      <c r="H60" s="106"/>
      <c r="I60" s="108"/>
      <c r="J60" s="107">
        <v>159.16999999999999</v>
      </c>
      <c r="K60" s="109"/>
      <c r="L60" s="110"/>
      <c r="M60" s="111"/>
      <c r="N60" s="112"/>
      <c r="O60" s="112"/>
      <c r="P60" s="113"/>
      <c r="Q60" s="114"/>
      <c r="R60" s="115">
        <f>G61+J61</f>
        <v>430.65428009999999</v>
      </c>
      <c r="S60" s="533"/>
      <c r="T60" s="116"/>
      <c r="U60" s="55">
        <f t="shared" si="0"/>
        <v>1.3008627290504997</v>
      </c>
      <c r="V60" s="185"/>
      <c r="W60" s="185"/>
      <c r="X60" s="185"/>
    </row>
    <row r="61" spans="1:24" s="117" customFormat="1" ht="11.25" customHeight="1">
      <c r="A61" s="118"/>
      <c r="B61" s="119"/>
      <c r="C61" s="549"/>
      <c r="D61" s="120"/>
      <c r="E61" s="121"/>
      <c r="F61" s="122"/>
      <c r="G61" s="47">
        <f>G60*$J$13/1000</f>
        <v>11.2715724</v>
      </c>
      <c r="H61" s="62"/>
      <c r="I61" s="63"/>
      <c r="J61" s="47">
        <f>J60*$Q$13/1000</f>
        <v>419.38270769999997</v>
      </c>
      <c r="K61" s="124"/>
      <c r="L61" s="125"/>
      <c r="M61" s="126"/>
      <c r="N61" s="127"/>
      <c r="O61" s="127"/>
      <c r="P61" s="122"/>
      <c r="Q61" s="128"/>
      <c r="R61" s="121"/>
      <c r="S61" s="534"/>
      <c r="T61" s="129"/>
      <c r="U61" s="55">
        <f t="shared" si="0"/>
        <v>1.3008627290504997</v>
      </c>
      <c r="V61" s="185"/>
      <c r="W61" s="185"/>
      <c r="X61" s="185"/>
    </row>
    <row r="62" spans="1:24" s="117" customFormat="1" ht="12.75" hidden="1" customHeight="1">
      <c r="A62" s="118"/>
      <c r="B62" s="119"/>
      <c r="C62" s="549"/>
      <c r="D62" s="120"/>
      <c r="E62" s="121"/>
      <c r="F62" s="122"/>
      <c r="G62" s="130"/>
      <c r="H62" s="122"/>
      <c r="I62" s="123"/>
      <c r="J62" s="130"/>
      <c r="K62" s="124"/>
      <c r="L62" s="125"/>
      <c r="M62" s="126"/>
      <c r="N62" s="127"/>
      <c r="O62" s="127"/>
      <c r="P62" s="122"/>
      <c r="Q62" s="128"/>
      <c r="R62" s="121"/>
      <c r="S62" s="121"/>
      <c r="T62" s="129"/>
      <c r="U62" s="55">
        <f t="shared" si="0"/>
        <v>1.3008627290504997</v>
      </c>
      <c r="V62" s="185"/>
      <c r="W62" s="185"/>
      <c r="X62" s="185"/>
    </row>
    <row r="63" spans="1:24" s="117" customFormat="1" ht="12.75" customHeight="1">
      <c r="A63" s="131"/>
      <c r="B63" s="132"/>
      <c r="C63" s="133"/>
      <c r="D63" s="134"/>
      <c r="E63" s="135"/>
      <c r="F63" s="136"/>
      <c r="G63" s="137"/>
      <c r="H63" s="136"/>
      <c r="I63" s="138"/>
      <c r="J63" s="137"/>
      <c r="K63" s="139"/>
      <c r="L63" s="140"/>
      <c r="M63" s="141"/>
      <c r="N63" s="142"/>
      <c r="O63" s="142"/>
      <c r="P63" s="136"/>
      <c r="Q63" s="143"/>
      <c r="R63" s="135"/>
      <c r="S63" s="135"/>
      <c r="T63" s="144"/>
      <c r="U63" s="55">
        <f t="shared" si="0"/>
        <v>1.3008627290504997</v>
      </c>
      <c r="V63" s="185"/>
      <c r="W63" s="185"/>
      <c r="X63" s="185"/>
    </row>
    <row r="64" spans="1:24" s="117" customFormat="1" ht="12.75" customHeight="1">
      <c r="A64" s="186">
        <f>A60+1</f>
        <v>8</v>
      </c>
      <c r="B64" s="187" t="s">
        <v>32</v>
      </c>
      <c r="C64" s="549" t="s">
        <v>215</v>
      </c>
      <c r="D64" s="188" t="s">
        <v>33</v>
      </c>
      <c r="E64" s="121">
        <f>80*1.6</f>
        <v>128</v>
      </c>
      <c r="F64" s="189"/>
      <c r="G64" s="130">
        <v>0.15</v>
      </c>
      <c r="H64" s="189"/>
      <c r="I64" s="123"/>
      <c r="J64" s="130">
        <v>0.6</v>
      </c>
      <c r="K64" s="124"/>
      <c r="L64" s="140"/>
      <c r="M64" s="141"/>
      <c r="N64" s="142"/>
      <c r="O64" s="142"/>
      <c r="P64" s="136"/>
      <c r="Q64" s="143"/>
      <c r="R64" s="135">
        <f>G65+J65</f>
        <v>1.8414000000000001</v>
      </c>
      <c r="S64" s="533"/>
      <c r="T64" s="190"/>
      <c r="U64" s="55">
        <f t="shared" si="0"/>
        <v>1.3008627290504997</v>
      </c>
      <c r="V64" s="185"/>
      <c r="W64" s="185"/>
      <c r="X64" s="185"/>
    </row>
    <row r="65" spans="1:24" s="117" customFormat="1" ht="10.5" customHeight="1">
      <c r="A65" s="118"/>
      <c r="C65" s="549"/>
      <c r="D65" s="188"/>
      <c r="E65" s="121"/>
      <c r="F65" s="189"/>
      <c r="G65" s="47">
        <f>G64*$J$13/1000</f>
        <v>0.26051400000000002</v>
      </c>
      <c r="H65" s="62"/>
      <c r="I65" s="63"/>
      <c r="J65" s="47">
        <f>J64*$Q$13/1000</f>
        <v>1.580886</v>
      </c>
      <c r="K65" s="124"/>
      <c r="L65" s="191"/>
      <c r="M65" s="192"/>
      <c r="N65" s="193"/>
      <c r="O65" s="193"/>
      <c r="P65" s="189"/>
      <c r="Q65" s="128"/>
      <c r="R65" s="121"/>
      <c r="S65" s="534"/>
      <c r="T65" s="129"/>
      <c r="U65" s="55">
        <f t="shared" si="0"/>
        <v>1.3008627290504997</v>
      </c>
      <c r="V65" s="185"/>
      <c r="W65" s="185"/>
      <c r="X65" s="185"/>
    </row>
    <row r="66" spans="1:24" s="117" customFormat="1" ht="12.75" hidden="1" customHeight="1">
      <c r="A66" s="118"/>
      <c r="C66" s="549"/>
      <c r="D66" s="188"/>
      <c r="E66" s="121"/>
      <c r="F66" s="189"/>
      <c r="G66" s="194"/>
      <c r="H66" s="189"/>
      <c r="I66" s="123"/>
      <c r="J66" s="130"/>
      <c r="K66" s="124"/>
      <c r="L66" s="191"/>
      <c r="M66" s="192"/>
      <c r="N66" s="193"/>
      <c r="O66" s="193"/>
      <c r="P66" s="189"/>
      <c r="Q66" s="128"/>
      <c r="R66" s="121"/>
      <c r="S66" s="121"/>
      <c r="T66" s="129"/>
      <c r="U66" s="55">
        <f t="shared" si="0"/>
        <v>1.3008627290504997</v>
      </c>
      <c r="V66" s="185"/>
      <c r="W66" s="185"/>
      <c r="X66" s="185"/>
    </row>
    <row r="67" spans="1:24" s="117" customFormat="1" ht="12.75" customHeight="1">
      <c r="A67" s="118"/>
      <c r="B67" s="119"/>
      <c r="C67" s="195"/>
      <c r="D67" s="120"/>
      <c r="E67" s="121"/>
      <c r="F67" s="122"/>
      <c r="G67" s="130"/>
      <c r="H67" s="122"/>
      <c r="I67" s="123"/>
      <c r="J67" s="130"/>
      <c r="K67" s="124"/>
      <c r="L67" s="125"/>
      <c r="M67" s="126"/>
      <c r="N67" s="127"/>
      <c r="O67" s="127"/>
      <c r="P67" s="122"/>
      <c r="Q67" s="128"/>
      <c r="R67" s="121"/>
      <c r="S67" s="121"/>
      <c r="T67" s="129"/>
      <c r="U67" s="55">
        <f t="shared" si="0"/>
        <v>1.3008627290504997</v>
      </c>
      <c r="V67" s="185"/>
      <c r="W67" s="185"/>
      <c r="X67" s="185"/>
    </row>
    <row r="68" spans="1:24" s="117" customFormat="1" ht="12.75" customHeight="1">
      <c r="A68" s="102">
        <f>A64+1</f>
        <v>9</v>
      </c>
      <c r="B68" s="43" t="s">
        <v>220</v>
      </c>
      <c r="C68" s="548" t="s">
        <v>218</v>
      </c>
      <c r="D68" s="104" t="s">
        <v>219</v>
      </c>
      <c r="E68" s="105">
        <f>1500/1000</f>
        <v>1.5</v>
      </c>
      <c r="F68" s="106"/>
      <c r="G68" s="107"/>
      <c r="H68" s="106"/>
      <c r="I68" s="108"/>
      <c r="J68" s="107">
        <v>1.17</v>
      </c>
      <c r="K68" s="109"/>
      <c r="L68" s="110"/>
      <c r="M68" s="111"/>
      <c r="N68" s="112"/>
      <c r="O68" s="112"/>
      <c r="P68" s="113"/>
      <c r="Q68" s="114"/>
      <c r="R68" s="115">
        <f>G69+J69</f>
        <v>3.0827277</v>
      </c>
      <c r="S68" s="533"/>
      <c r="T68" s="116"/>
      <c r="U68" s="55">
        <f t="shared" si="0"/>
        <v>1.3008627290504997</v>
      </c>
      <c r="V68" s="185"/>
      <c r="W68" s="185"/>
      <c r="X68" s="185"/>
    </row>
    <row r="69" spans="1:24" s="117" customFormat="1" ht="11.25" customHeight="1">
      <c r="A69" s="118"/>
      <c r="B69" s="119"/>
      <c r="C69" s="549"/>
      <c r="D69" s="120"/>
      <c r="E69" s="121"/>
      <c r="F69" s="122"/>
      <c r="G69" s="47">
        <f>G68*$J$13/1000</f>
        <v>0</v>
      </c>
      <c r="H69" s="62"/>
      <c r="I69" s="63"/>
      <c r="J69" s="47">
        <f>J68*$Q$13/1000</f>
        <v>3.0827277</v>
      </c>
      <c r="K69" s="124"/>
      <c r="L69" s="125"/>
      <c r="M69" s="126"/>
      <c r="N69" s="127"/>
      <c r="O69" s="127"/>
      <c r="P69" s="122"/>
      <c r="Q69" s="128"/>
      <c r="R69" s="121"/>
      <c r="S69" s="534"/>
      <c r="T69" s="129"/>
      <c r="U69" s="55">
        <f t="shared" si="0"/>
        <v>1.3008627290504997</v>
      </c>
      <c r="V69" s="185"/>
      <c r="W69" s="185"/>
      <c r="X69" s="185"/>
    </row>
    <row r="70" spans="1:24" s="117" customFormat="1" ht="12.75" hidden="1" customHeight="1">
      <c r="A70" s="118"/>
      <c r="B70" s="119"/>
      <c r="C70" s="549"/>
      <c r="D70" s="120"/>
      <c r="E70" s="121"/>
      <c r="F70" s="122"/>
      <c r="G70" s="130"/>
      <c r="H70" s="122"/>
      <c r="I70" s="123"/>
      <c r="J70" s="130"/>
      <c r="K70" s="124"/>
      <c r="L70" s="125"/>
      <c r="M70" s="126"/>
      <c r="N70" s="127"/>
      <c r="O70" s="127"/>
      <c r="P70" s="122"/>
      <c r="Q70" s="128"/>
      <c r="R70" s="121"/>
      <c r="S70" s="121"/>
      <c r="T70" s="129"/>
      <c r="U70" s="55">
        <f t="shared" si="0"/>
        <v>1.3008627290504997</v>
      </c>
      <c r="V70" s="185"/>
      <c r="W70" s="185"/>
      <c r="X70" s="185"/>
    </row>
    <row r="71" spans="1:24" s="117" customFormat="1" ht="12.75" customHeight="1">
      <c r="A71" s="131"/>
      <c r="B71" s="132"/>
      <c r="C71" s="133"/>
      <c r="D71" s="134"/>
      <c r="E71" s="135"/>
      <c r="F71" s="136"/>
      <c r="G71" s="137"/>
      <c r="H71" s="136"/>
      <c r="I71" s="138"/>
      <c r="J71" s="137"/>
      <c r="K71" s="139"/>
      <c r="L71" s="140"/>
      <c r="M71" s="141"/>
      <c r="N71" s="142"/>
      <c r="O71" s="142"/>
      <c r="P71" s="136"/>
      <c r="Q71" s="143"/>
      <c r="R71" s="135"/>
      <c r="S71" s="135"/>
      <c r="T71" s="144"/>
      <c r="U71" s="55">
        <f t="shared" si="0"/>
        <v>1.3008627290504997</v>
      </c>
      <c r="V71" s="185"/>
      <c r="W71" s="185"/>
      <c r="X71" s="185"/>
    </row>
    <row r="72" spans="1:24" ht="12.75" customHeight="1">
      <c r="A72" s="42">
        <f>A68+1</f>
        <v>10</v>
      </c>
      <c r="B72" s="43" t="s">
        <v>78</v>
      </c>
      <c r="C72" s="541" t="s">
        <v>77</v>
      </c>
      <c r="D72" s="44" t="s">
        <v>42</v>
      </c>
      <c r="E72" s="90">
        <f>76.5/100</f>
        <v>0.76500000000000001</v>
      </c>
      <c r="F72" s="46"/>
      <c r="G72" s="47">
        <f>11.4-2.26</f>
        <v>9.14</v>
      </c>
      <c r="H72" s="46"/>
      <c r="I72" s="48"/>
      <c r="J72" s="47">
        <v>0.2</v>
      </c>
      <c r="K72" s="49"/>
      <c r="L72" s="91"/>
      <c r="M72" s="92"/>
      <c r="N72" s="93"/>
      <c r="O72" s="93"/>
      <c r="P72" s="94"/>
      <c r="Q72" s="95"/>
      <c r="R72" s="54">
        <f>G73+J73</f>
        <v>16.400948400000001</v>
      </c>
      <c r="S72" s="533"/>
      <c r="T72" s="96"/>
      <c r="U72" s="55">
        <f t="shared" si="0"/>
        <v>1.3008627290504997</v>
      </c>
    </row>
    <row r="73" spans="1:24" ht="13.5" customHeight="1">
      <c r="A73" s="58"/>
      <c r="B73" s="59" t="s">
        <v>80</v>
      </c>
      <c r="C73" s="542"/>
      <c r="E73" s="61"/>
      <c r="G73" s="47">
        <f>G72*$J$13/1000</f>
        <v>15.873986400000001</v>
      </c>
      <c r="I73" s="63"/>
      <c r="J73" s="47">
        <f>J72*$Q$13/1000</f>
        <v>0.52696200000000004</v>
      </c>
      <c r="K73" s="64"/>
      <c r="L73" s="584" t="s">
        <v>79</v>
      </c>
      <c r="M73" s="65" t="s">
        <v>35</v>
      </c>
      <c r="N73" s="161">
        <v>10</v>
      </c>
      <c r="O73" s="161">
        <f>E72*N73</f>
        <v>7.65</v>
      </c>
      <c r="P73" s="68">
        <v>1.8</v>
      </c>
      <c r="Q73" s="69">
        <f>N73*P73*$N$11</f>
        <v>20.544564600000005</v>
      </c>
      <c r="R73" s="61">
        <f>SUM(Q73:Q73)</f>
        <v>20.544564600000005</v>
      </c>
      <c r="S73" s="534"/>
      <c r="T73" s="101"/>
      <c r="U73" s="55">
        <f t="shared" si="0"/>
        <v>1.3008627290504997</v>
      </c>
    </row>
    <row r="74" spans="1:24" ht="15" customHeight="1">
      <c r="A74" s="76"/>
      <c r="B74" s="77"/>
      <c r="C74" s="78"/>
      <c r="D74" s="79"/>
      <c r="E74" s="80"/>
      <c r="F74" s="81"/>
      <c r="G74" s="82"/>
      <c r="H74" s="81"/>
      <c r="I74" s="83"/>
      <c r="J74" s="82"/>
      <c r="K74" s="84"/>
      <c r="L74" s="585"/>
      <c r="M74" s="196"/>
      <c r="N74" s="197"/>
      <c r="O74" s="198"/>
      <c r="P74" s="199"/>
      <c r="Q74" s="200"/>
      <c r="R74" s="80"/>
      <c r="S74" s="80"/>
      <c r="T74" s="89"/>
      <c r="U74" s="55">
        <f t="shared" si="0"/>
        <v>1.3008627290504997</v>
      </c>
    </row>
    <row r="75" spans="1:24" ht="12.75" customHeight="1">
      <c r="A75" s="42">
        <f>A72+1</f>
        <v>11</v>
      </c>
      <c r="B75" s="43" t="s">
        <v>82</v>
      </c>
      <c r="C75" s="541" t="s">
        <v>81</v>
      </c>
      <c r="D75" s="44" t="s">
        <v>42</v>
      </c>
      <c r="E75" s="90">
        <f>765/100</f>
        <v>7.65</v>
      </c>
      <c r="F75" s="46"/>
      <c r="G75" s="47">
        <v>2.42</v>
      </c>
      <c r="H75" s="46"/>
      <c r="I75" s="48"/>
      <c r="J75" s="47"/>
      <c r="K75" s="49"/>
      <c r="L75" s="91"/>
      <c r="M75" s="92"/>
      <c r="N75" s="93"/>
      <c r="O75" s="93"/>
      <c r="P75" s="94"/>
      <c r="Q75" s="95"/>
      <c r="R75" s="54">
        <f>G76+J76</f>
        <v>4.2029592000000005</v>
      </c>
      <c r="S75" s="533"/>
      <c r="T75" s="96"/>
      <c r="U75" s="55">
        <f t="shared" si="0"/>
        <v>1.3008627290504997</v>
      </c>
    </row>
    <row r="76" spans="1:24" ht="12.75" customHeight="1">
      <c r="A76" s="58"/>
      <c r="B76" s="59"/>
      <c r="C76" s="542"/>
      <c r="E76" s="61"/>
      <c r="G76" s="47">
        <f>G75*$J$13/1000</f>
        <v>4.2029592000000005</v>
      </c>
      <c r="I76" s="63"/>
      <c r="J76" s="47">
        <f>J75*$Q$13/1000</f>
        <v>0</v>
      </c>
      <c r="K76" s="64"/>
      <c r="L76" s="584" t="s">
        <v>83</v>
      </c>
      <c r="M76" s="201" t="s">
        <v>39</v>
      </c>
      <c r="N76" s="161">
        <v>5</v>
      </c>
      <c r="O76" s="161">
        <f>E75*N76</f>
        <v>38.25</v>
      </c>
      <c r="P76" s="68">
        <v>3</v>
      </c>
      <c r="Q76" s="69">
        <f>N76*P76*$N$11</f>
        <v>17.120470500000003</v>
      </c>
      <c r="R76" s="61">
        <f>SUM(Q76:Q76)</f>
        <v>17.120470500000003</v>
      </c>
      <c r="S76" s="534"/>
      <c r="T76" s="101"/>
      <c r="U76" s="55">
        <f t="shared" si="0"/>
        <v>1.3008627290504997</v>
      </c>
    </row>
    <row r="77" spans="1:24" ht="17.25" customHeight="1">
      <c r="A77" s="76"/>
      <c r="B77" s="77"/>
      <c r="C77" s="586"/>
      <c r="D77" s="79"/>
      <c r="E77" s="80"/>
      <c r="F77" s="81"/>
      <c r="G77" s="82"/>
      <c r="H77" s="81"/>
      <c r="I77" s="83"/>
      <c r="J77" s="82"/>
      <c r="K77" s="84"/>
      <c r="L77" s="585"/>
      <c r="M77" s="202"/>
      <c r="N77" s="197"/>
      <c r="O77" s="198"/>
      <c r="P77" s="199"/>
      <c r="Q77" s="200"/>
      <c r="R77" s="80"/>
      <c r="S77" s="80"/>
      <c r="T77" s="89"/>
      <c r="U77" s="55">
        <f t="shared" si="0"/>
        <v>1.3008627290504997</v>
      </c>
    </row>
    <row r="78" spans="1:24" ht="12.75" customHeight="1">
      <c r="A78" s="42">
        <f>A75+1</f>
        <v>12</v>
      </c>
      <c r="B78" s="43" t="s">
        <v>106</v>
      </c>
      <c r="C78" s="541" t="s">
        <v>286</v>
      </c>
      <c r="D78" s="44" t="s">
        <v>27</v>
      </c>
      <c r="E78" s="90">
        <v>24</v>
      </c>
      <c r="F78" s="46"/>
      <c r="G78" s="47">
        <f>2.4/10+1.27/10</f>
        <v>0.36699999999999999</v>
      </c>
      <c r="H78" s="46"/>
      <c r="I78" s="48"/>
      <c r="J78" s="47"/>
      <c r="K78" s="49"/>
      <c r="L78" s="173"/>
      <c r="M78" s="92"/>
      <c r="N78" s="174"/>
      <c r="O78" s="175"/>
      <c r="P78" s="94"/>
      <c r="Q78" s="95"/>
      <c r="R78" s="54">
        <f>G79+J79</f>
        <v>0.63739091999999997</v>
      </c>
      <c r="S78" s="533"/>
      <c r="T78" s="543"/>
      <c r="U78" s="55">
        <f t="shared" si="0"/>
        <v>1.3008627290504997</v>
      </c>
    </row>
    <row r="79" spans="1:24" ht="11.25" customHeight="1">
      <c r="A79" s="58"/>
      <c r="B79" s="59" t="s">
        <v>107</v>
      </c>
      <c r="C79" s="542"/>
      <c r="E79" s="61"/>
      <c r="G79" s="47">
        <f>G78*$J$13/1000</f>
        <v>0.63739091999999997</v>
      </c>
      <c r="I79" s="63"/>
      <c r="J79" s="47">
        <f>J78*$Q$13/1000</f>
        <v>0</v>
      </c>
      <c r="K79" s="64"/>
      <c r="L79" s="176" t="s">
        <v>105</v>
      </c>
      <c r="M79" s="181" t="s">
        <v>27</v>
      </c>
      <c r="N79" s="178">
        <v>1</v>
      </c>
      <c r="O79" s="178">
        <f>E78*N79</f>
        <v>24</v>
      </c>
      <c r="P79" s="179">
        <v>3.7</v>
      </c>
      <c r="Q79" s="180">
        <f>N79*P79*$N$11</f>
        <v>4.2230493900000008</v>
      </c>
      <c r="R79" s="61">
        <f>SUM(Q79:Q79)</f>
        <v>4.2230493900000008</v>
      </c>
      <c r="S79" s="534"/>
      <c r="T79" s="544"/>
      <c r="U79" s="55">
        <f t="shared" si="0"/>
        <v>1.3008627290504997</v>
      </c>
    </row>
    <row r="80" spans="1:24" ht="12.75" customHeight="1">
      <c r="A80" s="76"/>
      <c r="B80" s="77"/>
      <c r="C80" s="78"/>
      <c r="D80" s="79"/>
      <c r="E80" s="80"/>
      <c r="F80" s="81"/>
      <c r="G80" s="82"/>
      <c r="H80" s="81"/>
      <c r="I80" s="83"/>
      <c r="J80" s="82"/>
      <c r="K80" s="84"/>
      <c r="L80" s="85"/>
      <c r="M80" s="86"/>
      <c r="N80" s="171"/>
      <c r="O80" s="172"/>
      <c r="P80" s="81"/>
      <c r="Q80" s="88"/>
      <c r="R80" s="80"/>
      <c r="S80" s="80"/>
      <c r="T80" s="89"/>
      <c r="U80" s="55">
        <f t="shared" si="0"/>
        <v>1.3008627290504997</v>
      </c>
    </row>
    <row r="81" spans="1:21" s="117" customFormat="1" thickBot="1">
      <c r="A81" s="145"/>
      <c r="B81" s="146"/>
      <c r="C81" s="147" t="s">
        <v>25</v>
      </c>
      <c r="D81" s="148"/>
      <c r="E81" s="149"/>
      <c r="F81" s="150"/>
      <c r="G81" s="151"/>
      <c r="H81" s="150"/>
      <c r="I81" s="152"/>
      <c r="J81" s="151"/>
      <c r="K81" s="153"/>
      <c r="L81" s="154"/>
      <c r="M81" s="155"/>
      <c r="N81" s="156"/>
      <c r="O81" s="157"/>
      <c r="P81" s="150"/>
      <c r="Q81" s="151"/>
      <c r="R81" s="157"/>
      <c r="S81" s="157"/>
      <c r="T81" s="158">
        <f>SUM(T38:T80)</f>
        <v>0</v>
      </c>
      <c r="U81" s="55">
        <f t="shared" si="0"/>
        <v>1.3008627290504997</v>
      </c>
    </row>
    <row r="82" spans="1:21" s="117" customFormat="1" ht="12" customHeight="1" thickTop="1">
      <c r="A82" s="559" t="s">
        <v>237</v>
      </c>
      <c r="B82" s="560"/>
      <c r="C82" s="560"/>
      <c r="D82" s="560"/>
      <c r="E82" s="561"/>
      <c r="F82" s="509"/>
      <c r="G82" s="509"/>
      <c r="H82" s="509"/>
      <c r="I82" s="510"/>
      <c r="J82" s="509"/>
      <c r="K82" s="511"/>
      <c r="L82" s="509"/>
      <c r="M82" s="509"/>
      <c r="N82" s="509"/>
      <c r="O82" s="509"/>
      <c r="P82" s="509"/>
      <c r="Q82" s="509"/>
      <c r="R82" s="509"/>
      <c r="S82" s="568">
        <v>0.1666</v>
      </c>
      <c r="T82" s="569"/>
      <c r="U82" s="55">
        <f t="shared" si="0"/>
        <v>1.3008627290504997</v>
      </c>
    </row>
    <row r="83" spans="1:21" s="117" customFormat="1" ht="12" hidden="1" customHeight="1">
      <c r="A83" s="562"/>
      <c r="B83" s="563"/>
      <c r="C83" s="563"/>
      <c r="D83" s="563"/>
      <c r="E83" s="564"/>
      <c r="F83" s="512"/>
      <c r="G83" s="512"/>
      <c r="H83" s="512"/>
      <c r="I83" s="513"/>
      <c r="J83" s="512"/>
      <c r="K83" s="514"/>
      <c r="L83" s="512"/>
      <c r="M83" s="512"/>
      <c r="N83" s="512"/>
      <c r="O83" s="512"/>
      <c r="P83" s="512"/>
      <c r="Q83" s="512"/>
      <c r="R83" s="512"/>
      <c r="S83" s="570"/>
      <c r="T83" s="571"/>
      <c r="U83" s="55">
        <f t="shared" si="0"/>
        <v>1.3008627290504997</v>
      </c>
    </row>
    <row r="84" spans="1:21" s="117" customFormat="1">
      <c r="A84" s="565"/>
      <c r="B84" s="566"/>
      <c r="C84" s="566"/>
      <c r="D84" s="566"/>
      <c r="E84" s="567"/>
      <c r="F84" s="515"/>
      <c r="G84" s="515"/>
      <c r="H84" s="515"/>
      <c r="I84" s="516"/>
      <c r="J84" s="515"/>
      <c r="K84" s="517"/>
      <c r="L84" s="515"/>
      <c r="M84" s="515"/>
      <c r="N84" s="515"/>
      <c r="O84" s="515"/>
      <c r="P84" s="515"/>
      <c r="Q84" s="515"/>
      <c r="R84" s="515"/>
      <c r="S84" s="572"/>
      <c r="T84" s="573"/>
      <c r="U84" s="55">
        <f t="shared" si="0"/>
        <v>1.3008627290504997</v>
      </c>
    </row>
    <row r="85" spans="1:21" s="219" customFormat="1" ht="12.75" customHeight="1">
      <c r="A85" s="203">
        <v>1</v>
      </c>
      <c r="B85" s="204" t="s">
        <v>222</v>
      </c>
      <c r="C85" s="523" t="s">
        <v>84</v>
      </c>
      <c r="D85" s="205" t="s">
        <v>130</v>
      </c>
      <c r="E85" s="206">
        <f>47.2/1000</f>
        <v>4.7200000000000006E-2</v>
      </c>
      <c r="F85" s="207"/>
      <c r="G85" s="208">
        <v>4.91</v>
      </c>
      <c r="H85" s="207"/>
      <c r="I85" s="209"/>
      <c r="J85" s="210">
        <v>119.09</v>
      </c>
      <c r="K85" s="211"/>
      <c r="L85" s="212"/>
      <c r="M85" s="213"/>
      <c r="N85" s="214"/>
      <c r="O85" s="214"/>
      <c r="P85" s="215"/>
      <c r="Q85" s="216"/>
      <c r="R85" s="217">
        <f>G86+J86</f>
        <v>322.30701449999998</v>
      </c>
      <c r="S85" s="533"/>
      <c r="T85" s="218"/>
      <c r="U85" s="55">
        <f t="shared" si="0"/>
        <v>1.3008627290504997</v>
      </c>
    </row>
    <row r="86" spans="1:21" s="219" customFormat="1" ht="12">
      <c r="A86" s="220"/>
      <c r="B86" s="204"/>
      <c r="C86" s="524"/>
      <c r="D86" s="205"/>
      <c r="E86" s="221"/>
      <c r="F86" s="207"/>
      <c r="G86" s="210">
        <f>G85*$J$13/1000</f>
        <v>8.5274915999999994</v>
      </c>
      <c r="H86" s="207"/>
      <c r="I86" s="222"/>
      <c r="J86" s="210">
        <f>J85*$Q$13/1000</f>
        <v>313.77952289999996</v>
      </c>
      <c r="K86" s="223"/>
      <c r="L86" s="224"/>
      <c r="M86" s="225"/>
      <c r="N86" s="226"/>
      <c r="O86" s="226"/>
      <c r="P86" s="207"/>
      <c r="Q86" s="227"/>
      <c r="R86" s="221"/>
      <c r="S86" s="534"/>
      <c r="T86" s="228"/>
      <c r="U86" s="55">
        <f t="shared" ref="U86:U149" si="1">1.133*1.11*1.01*1.009*1.015</f>
        <v>1.3008627290504997</v>
      </c>
    </row>
    <row r="87" spans="1:21" s="219" customFormat="1">
      <c r="A87" s="229"/>
      <c r="B87" s="230"/>
      <c r="C87" s="231"/>
      <c r="D87" s="232"/>
      <c r="E87" s="233"/>
      <c r="F87" s="234"/>
      <c r="G87" s="235"/>
      <c r="H87" s="234"/>
      <c r="I87" s="236"/>
      <c r="J87" s="235"/>
      <c r="K87" s="237"/>
      <c r="L87" s="238"/>
      <c r="M87" s="239"/>
      <c r="N87" s="240"/>
      <c r="O87" s="240"/>
      <c r="P87" s="241"/>
      <c r="Q87" s="227"/>
      <c r="R87" s="221"/>
      <c r="S87" s="221"/>
      <c r="T87" s="228"/>
      <c r="U87" s="55">
        <f t="shared" si="1"/>
        <v>1.3008627290504997</v>
      </c>
    </row>
    <row r="88" spans="1:21" s="219" customFormat="1" ht="16.5" customHeight="1">
      <c r="A88" s="203">
        <f>A85+1</f>
        <v>2</v>
      </c>
      <c r="B88" s="242" t="s">
        <v>34</v>
      </c>
      <c r="C88" s="523" t="s">
        <v>224</v>
      </c>
      <c r="D88" s="243" t="s">
        <v>35</v>
      </c>
      <c r="E88" s="244">
        <v>4.3</v>
      </c>
      <c r="F88" s="245"/>
      <c r="G88" s="210">
        <v>1.82</v>
      </c>
      <c r="H88" s="245"/>
      <c r="I88" s="209"/>
      <c r="J88" s="210">
        <v>1.06</v>
      </c>
      <c r="K88" s="211"/>
      <c r="L88" s="246"/>
      <c r="M88" s="213"/>
      <c r="N88" s="247"/>
      <c r="O88" s="248"/>
      <c r="P88" s="215"/>
      <c r="Q88" s="216"/>
      <c r="R88" s="217">
        <f>G89+J89</f>
        <v>5.9538018000000008</v>
      </c>
      <c r="S88" s="533"/>
      <c r="T88" s="525"/>
      <c r="U88" s="55">
        <f t="shared" si="1"/>
        <v>1.3008627290504997</v>
      </c>
    </row>
    <row r="89" spans="1:21" s="219" customFormat="1" ht="13.5" customHeight="1">
      <c r="A89" s="220"/>
      <c r="B89" s="249" t="s">
        <v>41</v>
      </c>
      <c r="C89" s="524"/>
      <c r="D89" s="250"/>
      <c r="E89" s="221"/>
      <c r="F89" s="241"/>
      <c r="G89" s="210">
        <f>G88*$J$13/1000</f>
        <v>3.1609032000000004</v>
      </c>
      <c r="H89" s="241"/>
      <c r="I89" s="222"/>
      <c r="J89" s="210">
        <f>J88*$Q$13/1000</f>
        <v>2.7928986</v>
      </c>
      <c r="K89" s="223"/>
      <c r="L89" s="251" t="s">
        <v>48</v>
      </c>
      <c r="M89" s="252" t="s">
        <v>35</v>
      </c>
      <c r="N89" s="253">
        <f>0.97+0.27</f>
        <v>1.24</v>
      </c>
      <c r="O89" s="253">
        <f>E88*N89</f>
        <v>5.3319999999999999</v>
      </c>
      <c r="P89" s="254">
        <v>4</v>
      </c>
      <c r="Q89" s="255">
        <f>N89*P89*$N$11</f>
        <v>5.6611689120000008</v>
      </c>
      <c r="R89" s="221">
        <f>SUM(Q89:Q89)</f>
        <v>5.6611689120000008</v>
      </c>
      <c r="S89" s="534"/>
      <c r="T89" s="526"/>
      <c r="U89" s="55">
        <f t="shared" si="1"/>
        <v>1.3008627290504997</v>
      </c>
    </row>
    <row r="90" spans="1:21" s="219" customFormat="1">
      <c r="A90" s="229"/>
      <c r="B90" s="230"/>
      <c r="C90" s="231"/>
      <c r="D90" s="232"/>
      <c r="E90" s="233"/>
      <c r="F90" s="234"/>
      <c r="G90" s="235"/>
      <c r="H90" s="234"/>
      <c r="I90" s="236"/>
      <c r="J90" s="235"/>
      <c r="K90" s="237"/>
      <c r="L90" s="256"/>
      <c r="M90" s="257"/>
      <c r="N90" s="258"/>
      <c r="O90" s="259"/>
      <c r="P90" s="234"/>
      <c r="Q90" s="260"/>
      <c r="R90" s="233"/>
      <c r="S90" s="233"/>
      <c r="T90" s="261"/>
      <c r="U90" s="55">
        <f t="shared" si="1"/>
        <v>1.3008627290504997</v>
      </c>
    </row>
    <row r="91" spans="1:21" s="219" customFormat="1" ht="13.5" customHeight="1">
      <c r="A91" s="262">
        <f>A88+1</f>
        <v>3</v>
      </c>
      <c r="B91" s="242" t="s">
        <v>225</v>
      </c>
      <c r="C91" s="523" t="s">
        <v>226</v>
      </c>
      <c r="D91" s="243" t="s">
        <v>35</v>
      </c>
      <c r="E91" s="263">
        <v>17.2</v>
      </c>
      <c r="F91" s="245"/>
      <c r="G91" s="210">
        <v>1.55</v>
      </c>
      <c r="H91" s="245"/>
      <c r="I91" s="209"/>
      <c r="J91" s="210">
        <v>0.76</v>
      </c>
      <c r="K91" s="211"/>
      <c r="L91" s="264"/>
      <c r="M91" s="265"/>
      <c r="N91" s="266"/>
      <c r="O91" s="266"/>
      <c r="P91" s="245"/>
      <c r="Q91" s="267"/>
      <c r="R91" s="217">
        <f>G92+J92</f>
        <v>4.6944336</v>
      </c>
      <c r="S91" s="521"/>
      <c r="T91" s="525"/>
      <c r="U91" s="55">
        <f t="shared" si="1"/>
        <v>1.3008627290504997</v>
      </c>
    </row>
    <row r="92" spans="1:21" s="219" customFormat="1" ht="11.25" customHeight="1">
      <c r="A92" s="220"/>
      <c r="B92" s="249"/>
      <c r="C92" s="524"/>
      <c r="D92" s="250"/>
      <c r="E92" s="221"/>
      <c r="F92" s="241"/>
      <c r="G92" s="210">
        <f>G91*$J$13/1000</f>
        <v>2.6919780000000002</v>
      </c>
      <c r="H92" s="241"/>
      <c r="I92" s="222"/>
      <c r="J92" s="210">
        <f>J91*$Q$13/1000</f>
        <v>2.0024556000000002</v>
      </c>
      <c r="K92" s="223"/>
      <c r="L92" s="268"/>
      <c r="M92" s="269"/>
      <c r="N92" s="270"/>
      <c r="O92" s="271"/>
      <c r="P92" s="272"/>
      <c r="Q92" s="273"/>
      <c r="R92" s="521">
        <f>SUM(Q92:Q95)</f>
        <v>37.351018620686617</v>
      </c>
      <c r="S92" s="522"/>
      <c r="T92" s="526"/>
      <c r="U92" s="55">
        <f t="shared" si="1"/>
        <v>1.3008627290504997</v>
      </c>
    </row>
    <row r="93" spans="1:21" s="219" customFormat="1" ht="12" hidden="1">
      <c r="A93" s="220"/>
      <c r="B93" s="274"/>
      <c r="C93" s="524"/>
      <c r="D93" s="250"/>
      <c r="E93" s="221"/>
      <c r="F93" s="241"/>
      <c r="G93" s="275"/>
      <c r="H93" s="241"/>
      <c r="I93" s="222"/>
      <c r="J93" s="275"/>
      <c r="K93" s="223"/>
      <c r="L93" s="276" t="s">
        <v>65</v>
      </c>
      <c r="M93" s="277" t="s">
        <v>35</v>
      </c>
      <c r="N93" s="278">
        <v>1.0149999999999999</v>
      </c>
      <c r="O93" s="279">
        <f>E91*N93</f>
        <v>17.457999999999998</v>
      </c>
      <c r="P93" s="280">
        <v>29</v>
      </c>
      <c r="Q93" s="281">
        <f>N93*P93*$N$11</f>
        <v>33.596069944500009</v>
      </c>
      <c r="R93" s="522"/>
      <c r="S93" s="522"/>
      <c r="T93" s="526"/>
      <c r="U93" s="55">
        <f t="shared" si="1"/>
        <v>1.3008627290504997</v>
      </c>
    </row>
    <row r="94" spans="1:21" s="219" customFormat="1" ht="12" hidden="1">
      <c r="A94" s="220"/>
      <c r="B94" s="274"/>
      <c r="C94" s="524"/>
      <c r="D94" s="250"/>
      <c r="E94" s="221"/>
      <c r="F94" s="241"/>
      <c r="G94" s="275"/>
      <c r="H94" s="241"/>
      <c r="I94" s="222"/>
      <c r="J94" s="275"/>
      <c r="K94" s="223"/>
      <c r="L94" s="276" t="s">
        <v>36</v>
      </c>
      <c r="M94" s="277" t="s">
        <v>37</v>
      </c>
      <c r="N94" s="278">
        <v>0.80300000000000005</v>
      </c>
      <c r="O94" s="279">
        <f>E91*N94</f>
        <v>13.8116</v>
      </c>
      <c r="P94" s="280">
        <v>3.5</v>
      </c>
      <c r="Q94" s="281">
        <f>N94*P94*$N$11</f>
        <v>3.207805489350001</v>
      </c>
      <c r="R94" s="522"/>
      <c r="S94" s="522"/>
      <c r="T94" s="526"/>
      <c r="U94" s="55">
        <f t="shared" si="1"/>
        <v>1.3008627290504997</v>
      </c>
    </row>
    <row r="95" spans="1:21" s="219" customFormat="1" ht="12" hidden="1">
      <c r="A95" s="220"/>
      <c r="B95" s="274"/>
      <c r="C95" s="524"/>
      <c r="D95" s="250"/>
      <c r="E95" s="221"/>
      <c r="F95" s="241"/>
      <c r="G95" s="275"/>
      <c r="H95" s="241"/>
      <c r="I95" s="222"/>
      <c r="J95" s="275"/>
      <c r="K95" s="223"/>
      <c r="L95" s="282" t="s">
        <v>38</v>
      </c>
      <c r="M95" s="283" t="s">
        <v>35</v>
      </c>
      <c r="N95" s="284">
        <v>3.8999999999999998E-3</v>
      </c>
      <c r="O95" s="285">
        <f>E91*N95</f>
        <v>6.7080000000000001E-2</v>
      </c>
      <c r="P95" s="286">
        <v>122.917</v>
      </c>
      <c r="Q95" s="287">
        <f>N95*P95*$N$11</f>
        <v>0.54714318683661012</v>
      </c>
      <c r="R95" s="522"/>
      <c r="S95" s="522"/>
      <c r="T95" s="526"/>
      <c r="U95" s="55">
        <f t="shared" si="1"/>
        <v>1.3008627290504997</v>
      </c>
    </row>
    <row r="96" spans="1:21" s="219" customFormat="1">
      <c r="A96" s="229"/>
      <c r="B96" s="230"/>
      <c r="C96" s="231"/>
      <c r="D96" s="232"/>
      <c r="E96" s="233"/>
      <c r="F96" s="234"/>
      <c r="G96" s="235"/>
      <c r="H96" s="234"/>
      <c r="I96" s="236"/>
      <c r="J96" s="235"/>
      <c r="K96" s="237"/>
      <c r="L96" s="256"/>
      <c r="M96" s="257"/>
      <c r="N96" s="288"/>
      <c r="O96" s="288"/>
      <c r="P96" s="234"/>
      <c r="Q96" s="260"/>
      <c r="R96" s="233"/>
      <c r="S96" s="233"/>
      <c r="T96" s="261"/>
      <c r="U96" s="55">
        <f t="shared" si="1"/>
        <v>1.3008627290504997</v>
      </c>
    </row>
    <row r="97" spans="1:21" s="219" customFormat="1" ht="15" customHeight="1">
      <c r="A97" s="262">
        <f>A91+1</f>
        <v>4</v>
      </c>
      <c r="B97" s="242" t="s">
        <v>227</v>
      </c>
      <c r="C97" s="523" t="s">
        <v>228</v>
      </c>
      <c r="D97" s="243" t="s">
        <v>35</v>
      </c>
      <c r="E97" s="263">
        <v>18</v>
      </c>
      <c r="F97" s="245"/>
      <c r="G97" s="210">
        <v>1.55</v>
      </c>
      <c r="H97" s="245"/>
      <c r="I97" s="209"/>
      <c r="J97" s="210">
        <v>0.33</v>
      </c>
      <c r="K97" s="211"/>
      <c r="L97" s="264"/>
      <c r="M97" s="265"/>
      <c r="N97" s="266"/>
      <c r="O97" s="266"/>
      <c r="P97" s="245"/>
      <c r="Q97" s="267"/>
      <c r="R97" s="217">
        <f>G98+J98</f>
        <v>3.5614653000000001</v>
      </c>
      <c r="S97" s="521"/>
      <c r="T97" s="525"/>
      <c r="U97" s="55">
        <f t="shared" si="1"/>
        <v>1.3008627290504997</v>
      </c>
    </row>
    <row r="98" spans="1:21" s="219" customFormat="1" ht="12">
      <c r="A98" s="220"/>
      <c r="B98" s="249"/>
      <c r="C98" s="524"/>
      <c r="D98" s="250"/>
      <c r="E98" s="221"/>
      <c r="F98" s="241"/>
      <c r="G98" s="210">
        <f>G97*$J$13/1000</f>
        <v>2.6919780000000002</v>
      </c>
      <c r="H98" s="241"/>
      <c r="I98" s="222"/>
      <c r="J98" s="210">
        <f>J97*$Q$13/1000</f>
        <v>0.86948729999999996</v>
      </c>
      <c r="K98" s="223"/>
      <c r="L98" s="268"/>
      <c r="M98" s="269"/>
      <c r="N98" s="270"/>
      <c r="O98" s="271"/>
      <c r="P98" s="272"/>
      <c r="Q98" s="273"/>
      <c r="R98" s="521">
        <f>SUM(Q98:Q102)</f>
        <v>39.762441684343358</v>
      </c>
      <c r="S98" s="522"/>
      <c r="T98" s="526"/>
      <c r="U98" s="55">
        <f t="shared" si="1"/>
        <v>1.3008627290504997</v>
      </c>
    </row>
    <row r="99" spans="1:21" s="219" customFormat="1" ht="12" hidden="1">
      <c r="A99" s="220"/>
      <c r="B99" s="274"/>
      <c r="C99" s="524"/>
      <c r="D99" s="250"/>
      <c r="E99" s="221"/>
      <c r="F99" s="241"/>
      <c r="G99" s="275"/>
      <c r="H99" s="241"/>
      <c r="I99" s="222"/>
      <c r="J99" s="275"/>
      <c r="K99" s="223"/>
      <c r="L99" s="276" t="s">
        <v>65</v>
      </c>
      <c r="M99" s="277" t="s">
        <v>35</v>
      </c>
      <c r="N99" s="278">
        <v>1.0149999999999999</v>
      </c>
      <c r="O99" s="279">
        <f>E97*N99</f>
        <v>18.27</v>
      </c>
      <c r="P99" s="280">
        <v>29</v>
      </c>
      <c r="Q99" s="281">
        <f>N99*P99*$N$11</f>
        <v>33.596069944500009</v>
      </c>
      <c r="R99" s="522"/>
      <c r="S99" s="522"/>
      <c r="T99" s="526"/>
      <c r="U99" s="55">
        <f t="shared" si="1"/>
        <v>1.3008627290504997</v>
      </c>
    </row>
    <row r="100" spans="1:21" s="219" customFormat="1" ht="12" hidden="1">
      <c r="A100" s="220"/>
      <c r="B100" s="274"/>
      <c r="C100" s="524"/>
      <c r="D100" s="250"/>
      <c r="E100" s="221"/>
      <c r="F100" s="241"/>
      <c r="G100" s="275"/>
      <c r="H100" s="241"/>
      <c r="I100" s="222"/>
      <c r="J100" s="275"/>
      <c r="K100" s="223"/>
      <c r="L100" s="276" t="s">
        <v>36</v>
      </c>
      <c r="M100" s="277" t="s">
        <v>37</v>
      </c>
      <c r="N100" s="278">
        <v>0.70699999999999996</v>
      </c>
      <c r="O100" s="279">
        <f>E97*N100</f>
        <v>12.725999999999999</v>
      </c>
      <c r="P100" s="280">
        <v>3.5</v>
      </c>
      <c r="Q100" s="281">
        <f>N100*P100*$N$11</f>
        <v>2.8243069501500004</v>
      </c>
      <c r="R100" s="522"/>
      <c r="S100" s="522"/>
      <c r="T100" s="526"/>
      <c r="U100" s="55">
        <f t="shared" si="1"/>
        <v>1.3008627290504997</v>
      </c>
    </row>
    <row r="101" spans="1:21" s="219" customFormat="1" ht="12" hidden="1">
      <c r="A101" s="220"/>
      <c r="B101" s="274"/>
      <c r="C101" s="524"/>
      <c r="D101" s="250"/>
      <c r="E101" s="221"/>
      <c r="F101" s="241"/>
      <c r="G101" s="275"/>
      <c r="H101" s="241"/>
      <c r="I101" s="222"/>
      <c r="J101" s="275"/>
      <c r="K101" s="223"/>
      <c r="L101" s="282" t="s">
        <v>38</v>
      </c>
      <c r="M101" s="283" t="s">
        <v>35</v>
      </c>
      <c r="N101" s="284">
        <f>0.0152+0.0013</f>
        <v>1.6500000000000001E-2</v>
      </c>
      <c r="O101" s="285">
        <f>E97*N101</f>
        <v>0.29700000000000004</v>
      </c>
      <c r="P101" s="286">
        <v>122.917</v>
      </c>
      <c r="Q101" s="287">
        <f>N101*P101*$N$11</f>
        <v>2.3148365596933504</v>
      </c>
      <c r="R101" s="522"/>
      <c r="S101" s="522"/>
      <c r="T101" s="526"/>
      <c r="U101" s="55">
        <f t="shared" si="1"/>
        <v>1.3008627290504997</v>
      </c>
    </row>
    <row r="102" spans="1:21" s="219" customFormat="1" ht="12" hidden="1">
      <c r="A102" s="220"/>
      <c r="B102" s="274"/>
      <c r="C102" s="289"/>
      <c r="D102" s="250"/>
      <c r="E102" s="221"/>
      <c r="F102" s="241"/>
      <c r="G102" s="275"/>
      <c r="H102" s="241"/>
      <c r="I102" s="222"/>
      <c r="J102" s="275"/>
      <c r="K102" s="223"/>
      <c r="L102" s="282" t="s">
        <v>229</v>
      </c>
      <c r="M102" s="283" t="s">
        <v>39</v>
      </c>
      <c r="N102" s="290">
        <v>0.9</v>
      </c>
      <c r="O102" s="285">
        <f>E97*N102</f>
        <v>16.2</v>
      </c>
      <c r="P102" s="286">
        <v>1</v>
      </c>
      <c r="Q102" s="287">
        <f>N102*P102*$N$11</f>
        <v>1.0272282300000002</v>
      </c>
      <c r="R102" s="221"/>
      <c r="S102" s="221"/>
      <c r="T102" s="291"/>
      <c r="U102" s="55">
        <f t="shared" si="1"/>
        <v>1.3008627290504997</v>
      </c>
    </row>
    <row r="103" spans="1:21" s="219" customFormat="1">
      <c r="A103" s="229"/>
      <c r="B103" s="230"/>
      <c r="C103" s="231"/>
      <c r="D103" s="232"/>
      <c r="E103" s="233"/>
      <c r="F103" s="234"/>
      <c r="G103" s="235"/>
      <c r="H103" s="234"/>
      <c r="I103" s="236"/>
      <c r="J103" s="235"/>
      <c r="K103" s="237"/>
      <c r="L103" s="256"/>
      <c r="M103" s="257"/>
      <c r="N103" s="288"/>
      <c r="O103" s="288"/>
      <c r="P103" s="234"/>
      <c r="Q103" s="260"/>
      <c r="R103" s="233"/>
      <c r="S103" s="233"/>
      <c r="T103" s="261"/>
      <c r="U103" s="55">
        <f t="shared" si="1"/>
        <v>1.3008627290504997</v>
      </c>
    </row>
    <row r="104" spans="1:21" s="219" customFormat="1" ht="12">
      <c r="A104" s="203">
        <f>A97+1</f>
        <v>5</v>
      </c>
      <c r="B104" s="536" t="s">
        <v>230</v>
      </c>
      <c r="C104" s="523" t="s">
        <v>231</v>
      </c>
      <c r="D104" s="243" t="s">
        <v>232</v>
      </c>
      <c r="E104" s="263">
        <v>86</v>
      </c>
      <c r="F104" s="245"/>
      <c r="G104" s="210">
        <f>9.89*0.5</f>
        <v>4.9450000000000003</v>
      </c>
      <c r="H104" s="245"/>
      <c r="I104" s="209"/>
      <c r="J104" s="210">
        <v>0.08</v>
      </c>
      <c r="K104" s="211"/>
      <c r="L104" s="264"/>
      <c r="M104" s="265"/>
      <c r="N104" s="266"/>
      <c r="O104" s="292"/>
      <c r="P104" s="245"/>
      <c r="Q104" s="216"/>
      <c r="R104" s="217">
        <f>G105+J105</f>
        <v>8.7990630000000021</v>
      </c>
      <c r="S104" s="521"/>
      <c r="T104" s="525"/>
      <c r="U104" s="55">
        <f t="shared" si="1"/>
        <v>1.3008627290504997</v>
      </c>
    </row>
    <row r="105" spans="1:21" s="219" customFormat="1" ht="12">
      <c r="A105" s="220"/>
      <c r="B105" s="539"/>
      <c r="C105" s="524"/>
      <c r="D105" s="250"/>
      <c r="E105" s="221"/>
      <c r="F105" s="241"/>
      <c r="G105" s="210">
        <f>G104*$J$13/1000</f>
        <v>8.5882782000000013</v>
      </c>
      <c r="H105" s="241"/>
      <c r="I105" s="222"/>
      <c r="J105" s="210">
        <f>J104*$Q$13/1000</f>
        <v>0.21078479999999999</v>
      </c>
      <c r="K105" s="223"/>
      <c r="L105" s="268" t="s">
        <v>233</v>
      </c>
      <c r="M105" s="269" t="s">
        <v>26</v>
      </c>
      <c r="N105" s="293">
        <v>1</v>
      </c>
      <c r="O105" s="293">
        <f>E104*N105</f>
        <v>86</v>
      </c>
      <c r="P105" s="272">
        <v>3</v>
      </c>
      <c r="Q105" s="294">
        <f>N105*P105*$N$11</f>
        <v>3.4240941000000005</v>
      </c>
      <c r="R105" s="521">
        <f>SUM(Q105:Q106)</f>
        <v>3.6078538167000005</v>
      </c>
      <c r="S105" s="522"/>
      <c r="T105" s="526"/>
      <c r="U105" s="55">
        <f t="shared" si="1"/>
        <v>1.3008627290504997</v>
      </c>
    </row>
    <row r="106" spans="1:21" s="219" customFormat="1" ht="48" hidden="1">
      <c r="A106" s="220"/>
      <c r="B106" s="249" t="s">
        <v>234</v>
      </c>
      <c r="C106" s="524"/>
      <c r="D106" s="250"/>
      <c r="E106" s="221"/>
      <c r="F106" s="241"/>
      <c r="G106" s="275"/>
      <c r="H106" s="241"/>
      <c r="I106" s="222"/>
      <c r="J106" s="275"/>
      <c r="K106" s="223"/>
      <c r="L106" s="282" t="s">
        <v>40</v>
      </c>
      <c r="M106" s="283" t="s">
        <v>35</v>
      </c>
      <c r="N106" s="295">
        <v>7.0000000000000001E-3</v>
      </c>
      <c r="O106" s="295">
        <f>E104*N106</f>
        <v>0.60199999999999998</v>
      </c>
      <c r="P106" s="286">
        <v>23</v>
      </c>
      <c r="Q106" s="281">
        <f>N106*P106*$N$11</f>
        <v>0.18375971670000005</v>
      </c>
      <c r="R106" s="522"/>
      <c r="S106" s="522"/>
      <c r="T106" s="526"/>
      <c r="U106" s="55">
        <f t="shared" si="1"/>
        <v>1.3008627290504997</v>
      </c>
    </row>
    <row r="107" spans="1:21" s="219" customFormat="1" ht="0.75" customHeight="1">
      <c r="A107" s="220"/>
      <c r="B107" s="274"/>
      <c r="C107" s="524"/>
      <c r="D107" s="250"/>
      <c r="E107" s="221"/>
      <c r="F107" s="241"/>
      <c r="G107" s="275"/>
      <c r="H107" s="241"/>
      <c r="I107" s="222"/>
      <c r="J107" s="275"/>
      <c r="K107" s="223"/>
      <c r="R107" s="522"/>
      <c r="S107" s="522"/>
      <c r="T107" s="526"/>
      <c r="U107" s="55">
        <f t="shared" si="1"/>
        <v>1.3008627290504997</v>
      </c>
    </row>
    <row r="108" spans="1:21" s="219" customFormat="1">
      <c r="A108" s="229"/>
      <c r="B108" s="230"/>
      <c r="C108" s="231"/>
      <c r="D108" s="232"/>
      <c r="E108" s="233"/>
      <c r="F108" s="234"/>
      <c r="G108" s="235"/>
      <c r="H108" s="234"/>
      <c r="I108" s="236"/>
      <c r="J108" s="235"/>
      <c r="K108" s="237"/>
      <c r="L108" s="256"/>
      <c r="M108" s="257"/>
      <c r="N108" s="258"/>
      <c r="O108" s="259"/>
      <c r="P108" s="234"/>
      <c r="Q108" s="260"/>
      <c r="R108" s="233"/>
      <c r="S108" s="233"/>
      <c r="T108" s="261"/>
      <c r="U108" s="55">
        <f t="shared" si="1"/>
        <v>1.3008627290504997</v>
      </c>
    </row>
    <row r="109" spans="1:21" s="219" customFormat="1" ht="15.75" customHeight="1">
      <c r="A109" s="262">
        <f>A104+1</f>
        <v>6</v>
      </c>
      <c r="B109" s="204" t="s">
        <v>160</v>
      </c>
      <c r="C109" s="523" t="s">
        <v>161</v>
      </c>
      <c r="D109" s="205" t="s">
        <v>31</v>
      </c>
      <c r="E109" s="296">
        <f>7.7/100</f>
        <v>7.6999999999999999E-2</v>
      </c>
      <c r="F109" s="207"/>
      <c r="G109" s="208">
        <v>56.2</v>
      </c>
      <c r="H109" s="207"/>
      <c r="I109" s="222"/>
      <c r="J109" s="275">
        <v>0</v>
      </c>
      <c r="K109" s="223"/>
      <c r="L109" s="212"/>
      <c r="M109" s="213"/>
      <c r="N109" s="214"/>
      <c r="O109" s="214"/>
      <c r="P109" s="215"/>
      <c r="Q109" s="216"/>
      <c r="R109" s="217">
        <f>G110+J110</f>
        <v>97.605912000000018</v>
      </c>
      <c r="S109" s="263"/>
      <c r="T109" s="218"/>
      <c r="U109" s="55">
        <f t="shared" si="1"/>
        <v>1.3008627290504997</v>
      </c>
    </row>
    <row r="110" spans="1:21" s="219" customFormat="1" ht="9" customHeight="1">
      <c r="A110" s="220"/>
      <c r="B110" s="204" t="s">
        <v>125</v>
      </c>
      <c r="C110" s="524"/>
      <c r="D110" s="205"/>
      <c r="E110" s="221"/>
      <c r="F110" s="207"/>
      <c r="G110" s="210">
        <f>G109*$J$13/1000</f>
        <v>97.605912000000018</v>
      </c>
      <c r="H110" s="207"/>
      <c r="I110" s="222"/>
      <c r="J110" s="210">
        <f>J109*$Q$6/1000</f>
        <v>0</v>
      </c>
      <c r="K110" s="223"/>
      <c r="L110" s="224"/>
      <c r="M110" s="225"/>
      <c r="N110" s="226"/>
      <c r="O110" s="226"/>
      <c r="P110" s="207"/>
      <c r="Q110" s="227"/>
      <c r="R110" s="221"/>
      <c r="S110" s="221"/>
      <c r="T110" s="228"/>
      <c r="U110" s="55">
        <f t="shared" si="1"/>
        <v>1.3008627290504997</v>
      </c>
    </row>
    <row r="111" spans="1:21" s="219" customFormat="1">
      <c r="A111" s="229"/>
      <c r="B111" s="230"/>
      <c r="C111" s="231"/>
      <c r="D111" s="232"/>
      <c r="E111" s="233"/>
      <c r="F111" s="234"/>
      <c r="G111" s="235"/>
      <c r="H111" s="234"/>
      <c r="I111" s="236"/>
      <c r="J111" s="235"/>
      <c r="K111" s="237"/>
      <c r="L111" s="238"/>
      <c r="M111" s="239"/>
      <c r="N111" s="240"/>
      <c r="O111" s="240"/>
      <c r="P111" s="241"/>
      <c r="Q111" s="227"/>
      <c r="R111" s="221"/>
      <c r="S111" s="221"/>
      <c r="T111" s="228"/>
      <c r="U111" s="55">
        <f t="shared" si="1"/>
        <v>1.3008627290504997</v>
      </c>
    </row>
    <row r="112" spans="1:21" s="219" customFormat="1" ht="14.25" customHeight="1">
      <c r="A112" s="262">
        <f>A109+1</f>
        <v>7</v>
      </c>
      <c r="B112" s="204" t="s">
        <v>160</v>
      </c>
      <c r="C112" s="523" t="s">
        <v>235</v>
      </c>
      <c r="D112" s="205" t="s">
        <v>31</v>
      </c>
      <c r="E112" s="296">
        <f>39.5/100</f>
        <v>0.39500000000000002</v>
      </c>
      <c r="F112" s="207"/>
      <c r="G112" s="208">
        <v>56.2</v>
      </c>
      <c r="H112" s="207"/>
      <c r="I112" s="222"/>
      <c r="J112" s="275">
        <v>0</v>
      </c>
      <c r="K112" s="223"/>
      <c r="L112" s="212"/>
      <c r="M112" s="213"/>
      <c r="N112" s="214"/>
      <c r="O112" s="214"/>
      <c r="P112" s="215"/>
      <c r="Q112" s="216"/>
      <c r="R112" s="217">
        <f>G113+J113</f>
        <v>97.605912000000018</v>
      </c>
      <c r="S112" s="263"/>
      <c r="T112" s="218"/>
      <c r="U112" s="55">
        <f t="shared" si="1"/>
        <v>1.3008627290504997</v>
      </c>
    </row>
    <row r="113" spans="1:21" s="219" customFormat="1" ht="13.5" customHeight="1">
      <c r="A113" s="220"/>
      <c r="B113" s="204" t="s">
        <v>125</v>
      </c>
      <c r="C113" s="524"/>
      <c r="D113" s="205"/>
      <c r="E113" s="221"/>
      <c r="F113" s="207"/>
      <c r="G113" s="210">
        <f>G112*$J$13/1000</f>
        <v>97.605912000000018</v>
      </c>
      <c r="H113" s="207"/>
      <c r="I113" s="222"/>
      <c r="J113" s="210">
        <f>J112*$Q$6/1000</f>
        <v>0</v>
      </c>
      <c r="K113" s="223"/>
      <c r="L113" s="224"/>
      <c r="M113" s="225"/>
      <c r="N113" s="226"/>
      <c r="O113" s="226"/>
      <c r="P113" s="207"/>
      <c r="Q113" s="227"/>
      <c r="R113" s="221"/>
      <c r="S113" s="221"/>
      <c r="T113" s="228"/>
      <c r="U113" s="55">
        <f t="shared" si="1"/>
        <v>1.3008627290504997</v>
      </c>
    </row>
    <row r="114" spans="1:21" s="219" customFormat="1">
      <c r="A114" s="229"/>
      <c r="B114" s="230"/>
      <c r="C114" s="231"/>
      <c r="D114" s="232"/>
      <c r="E114" s="233"/>
      <c r="F114" s="234"/>
      <c r="G114" s="235"/>
      <c r="H114" s="234"/>
      <c r="I114" s="236"/>
      <c r="J114" s="235"/>
      <c r="K114" s="237"/>
      <c r="L114" s="238"/>
      <c r="M114" s="239"/>
      <c r="N114" s="240"/>
      <c r="O114" s="240"/>
      <c r="P114" s="241"/>
      <c r="Q114" s="227"/>
      <c r="R114" s="221"/>
      <c r="S114" s="221"/>
      <c r="T114" s="228"/>
      <c r="U114" s="55">
        <f t="shared" si="1"/>
        <v>1.3008627290504997</v>
      </c>
    </row>
    <row r="115" spans="1:21" s="117" customFormat="1" thickBot="1">
      <c r="A115" s="145"/>
      <c r="B115" s="146"/>
      <c r="C115" s="147" t="s">
        <v>25</v>
      </c>
      <c r="D115" s="148"/>
      <c r="E115" s="149"/>
      <c r="F115" s="150"/>
      <c r="G115" s="151"/>
      <c r="H115" s="150"/>
      <c r="I115" s="152"/>
      <c r="J115" s="151"/>
      <c r="K115" s="153"/>
      <c r="L115" s="154"/>
      <c r="M115" s="155"/>
      <c r="N115" s="156"/>
      <c r="O115" s="157"/>
      <c r="P115" s="150"/>
      <c r="Q115" s="151"/>
      <c r="R115" s="157"/>
      <c r="S115" s="157"/>
      <c r="T115" s="158">
        <f>SUM(T85:T114)</f>
        <v>0</v>
      </c>
      <c r="U115" s="55">
        <f t="shared" si="1"/>
        <v>1.3008627290504997</v>
      </c>
    </row>
    <row r="116" spans="1:21" s="117" customFormat="1" ht="12.75" customHeight="1" thickTop="1">
      <c r="A116" s="559" t="s">
        <v>238</v>
      </c>
      <c r="B116" s="560"/>
      <c r="C116" s="560"/>
      <c r="D116" s="560"/>
      <c r="E116" s="561"/>
      <c r="F116" s="509"/>
      <c r="G116" s="509"/>
      <c r="H116" s="509"/>
      <c r="I116" s="510"/>
      <c r="J116" s="509"/>
      <c r="K116" s="511"/>
      <c r="L116" s="509"/>
      <c r="M116" s="509"/>
      <c r="N116" s="509"/>
      <c r="O116" s="509"/>
      <c r="P116" s="509"/>
      <c r="Q116" s="509"/>
      <c r="R116" s="509"/>
      <c r="S116" s="568">
        <v>5.9799999999999999E-2</v>
      </c>
      <c r="T116" s="569"/>
      <c r="U116" s="55">
        <f t="shared" si="1"/>
        <v>1.3008627290504997</v>
      </c>
    </row>
    <row r="117" spans="1:21" s="117" customFormat="1" ht="12" customHeight="1">
      <c r="A117" s="562"/>
      <c r="B117" s="563"/>
      <c r="C117" s="563"/>
      <c r="D117" s="563"/>
      <c r="E117" s="564"/>
      <c r="F117" s="512"/>
      <c r="G117" s="512"/>
      <c r="H117" s="512"/>
      <c r="I117" s="513"/>
      <c r="J117" s="512"/>
      <c r="K117" s="514"/>
      <c r="L117" s="512"/>
      <c r="M117" s="512"/>
      <c r="N117" s="512"/>
      <c r="O117" s="512"/>
      <c r="P117" s="512"/>
      <c r="Q117" s="512"/>
      <c r="R117" s="512"/>
      <c r="S117" s="570"/>
      <c r="T117" s="571"/>
      <c r="U117" s="55">
        <f t="shared" si="1"/>
        <v>1.3008627290504997</v>
      </c>
    </row>
    <row r="118" spans="1:21" s="117" customFormat="1" ht="4.5" customHeight="1">
      <c r="A118" s="565"/>
      <c r="B118" s="566"/>
      <c r="C118" s="566"/>
      <c r="D118" s="566"/>
      <c r="E118" s="567"/>
      <c r="F118" s="515"/>
      <c r="G118" s="515"/>
      <c r="H118" s="515"/>
      <c r="I118" s="516"/>
      <c r="J118" s="515"/>
      <c r="K118" s="517"/>
      <c r="L118" s="515"/>
      <c r="M118" s="515"/>
      <c r="N118" s="515"/>
      <c r="O118" s="515"/>
      <c r="P118" s="515"/>
      <c r="Q118" s="515"/>
      <c r="R118" s="515"/>
      <c r="S118" s="572"/>
      <c r="T118" s="573"/>
      <c r="U118" s="55">
        <f t="shared" si="1"/>
        <v>1.3008627290504997</v>
      </c>
    </row>
    <row r="119" spans="1:21" s="219" customFormat="1" ht="15" customHeight="1">
      <c r="A119" s="203">
        <v>1</v>
      </c>
      <c r="B119" s="204" t="s">
        <v>222</v>
      </c>
      <c r="C119" s="523" t="s">
        <v>84</v>
      </c>
      <c r="D119" s="205" t="s">
        <v>130</v>
      </c>
      <c r="E119" s="206">
        <f>13.2/1000</f>
        <v>1.32E-2</v>
      </c>
      <c r="F119" s="207"/>
      <c r="G119" s="208">
        <v>4.91</v>
      </c>
      <c r="H119" s="207"/>
      <c r="I119" s="209"/>
      <c r="J119" s="210">
        <v>119.09</v>
      </c>
      <c r="K119" s="211"/>
      <c r="L119" s="212"/>
      <c r="M119" s="213"/>
      <c r="N119" s="214"/>
      <c r="O119" s="214"/>
      <c r="P119" s="215"/>
      <c r="Q119" s="216"/>
      <c r="R119" s="217">
        <f>G120+J120</f>
        <v>322.30701449999998</v>
      </c>
      <c r="S119" s="263"/>
      <c r="T119" s="218"/>
      <c r="U119" s="55">
        <f t="shared" si="1"/>
        <v>1.3008627290504997</v>
      </c>
    </row>
    <row r="120" spans="1:21" s="219" customFormat="1" ht="12">
      <c r="A120" s="220"/>
      <c r="B120" s="204"/>
      <c r="C120" s="524"/>
      <c r="D120" s="205"/>
      <c r="E120" s="221"/>
      <c r="F120" s="207"/>
      <c r="G120" s="210">
        <f>G119*$J$13/1000</f>
        <v>8.5274915999999994</v>
      </c>
      <c r="H120" s="207"/>
      <c r="I120" s="222"/>
      <c r="J120" s="210">
        <f>J119*$Q$13/1000</f>
        <v>313.77952289999996</v>
      </c>
      <c r="K120" s="223"/>
      <c r="L120" s="224"/>
      <c r="M120" s="225"/>
      <c r="N120" s="226"/>
      <c r="O120" s="226"/>
      <c r="P120" s="207"/>
      <c r="Q120" s="227"/>
      <c r="R120" s="221"/>
      <c r="S120" s="221"/>
      <c r="T120" s="228"/>
      <c r="U120" s="55">
        <f t="shared" si="1"/>
        <v>1.3008627290504997</v>
      </c>
    </row>
    <row r="121" spans="1:21" s="219" customFormat="1">
      <c r="A121" s="229"/>
      <c r="B121" s="230"/>
      <c r="C121" s="231"/>
      <c r="D121" s="232"/>
      <c r="E121" s="233"/>
      <c r="F121" s="234"/>
      <c r="G121" s="235"/>
      <c r="H121" s="234"/>
      <c r="I121" s="236"/>
      <c r="J121" s="235"/>
      <c r="K121" s="237"/>
      <c r="L121" s="238"/>
      <c r="M121" s="239"/>
      <c r="N121" s="240"/>
      <c r="O121" s="240"/>
      <c r="P121" s="241"/>
      <c r="Q121" s="227"/>
      <c r="R121" s="221"/>
      <c r="S121" s="221"/>
      <c r="T121" s="228"/>
      <c r="U121" s="55">
        <f t="shared" si="1"/>
        <v>1.3008627290504997</v>
      </c>
    </row>
    <row r="122" spans="1:21" s="219" customFormat="1" ht="13.5" customHeight="1">
      <c r="A122" s="203">
        <f>A119+1</f>
        <v>2</v>
      </c>
      <c r="B122" s="242" t="s">
        <v>34</v>
      </c>
      <c r="C122" s="523" t="s">
        <v>224</v>
      </c>
      <c r="D122" s="243" t="s">
        <v>35</v>
      </c>
      <c r="E122" s="244">
        <v>1.2</v>
      </c>
      <c r="F122" s="245"/>
      <c r="G122" s="210">
        <v>1.82</v>
      </c>
      <c r="H122" s="245"/>
      <c r="I122" s="209"/>
      <c r="J122" s="210">
        <v>1.06</v>
      </c>
      <c r="K122" s="211"/>
      <c r="L122" s="246"/>
      <c r="M122" s="213"/>
      <c r="N122" s="247"/>
      <c r="O122" s="248"/>
      <c r="P122" s="215"/>
      <c r="Q122" s="216"/>
      <c r="R122" s="217">
        <f>G123+J123</f>
        <v>5.9538018000000008</v>
      </c>
      <c r="S122" s="521"/>
      <c r="T122" s="525"/>
      <c r="U122" s="55">
        <f t="shared" si="1"/>
        <v>1.3008627290504997</v>
      </c>
    </row>
    <row r="123" spans="1:21" s="219" customFormat="1" ht="16.5" customHeight="1">
      <c r="A123" s="220"/>
      <c r="B123" s="249" t="s">
        <v>41</v>
      </c>
      <c r="C123" s="524"/>
      <c r="D123" s="250"/>
      <c r="E123" s="221"/>
      <c r="F123" s="241"/>
      <c r="G123" s="210">
        <f>G122*$J$13/1000</f>
        <v>3.1609032000000004</v>
      </c>
      <c r="H123" s="241"/>
      <c r="I123" s="222"/>
      <c r="J123" s="210">
        <f>J122*$Q$13/1000</f>
        <v>2.7928986</v>
      </c>
      <c r="K123" s="223"/>
      <c r="L123" s="251" t="s">
        <v>48</v>
      </c>
      <c r="M123" s="252" t="s">
        <v>35</v>
      </c>
      <c r="N123" s="253">
        <f>0.97+0.27</f>
        <v>1.24</v>
      </c>
      <c r="O123" s="253">
        <f>E122*N123</f>
        <v>1.488</v>
      </c>
      <c r="P123" s="254">
        <v>4</v>
      </c>
      <c r="Q123" s="255">
        <f>N123*P123*$N$11</f>
        <v>5.6611689120000008</v>
      </c>
      <c r="R123" s="221">
        <f>SUM(Q123:Q123)</f>
        <v>5.6611689120000008</v>
      </c>
      <c r="S123" s="522"/>
      <c r="T123" s="526"/>
      <c r="U123" s="55">
        <f t="shared" si="1"/>
        <v>1.3008627290504997</v>
      </c>
    </row>
    <row r="124" spans="1:21" s="219" customFormat="1">
      <c r="A124" s="229"/>
      <c r="B124" s="230"/>
      <c r="C124" s="231"/>
      <c r="D124" s="232"/>
      <c r="E124" s="233"/>
      <c r="F124" s="234"/>
      <c r="G124" s="235"/>
      <c r="H124" s="234"/>
      <c r="I124" s="236"/>
      <c r="J124" s="235"/>
      <c r="K124" s="237"/>
      <c r="L124" s="256"/>
      <c r="M124" s="257"/>
      <c r="N124" s="258"/>
      <c r="O124" s="259"/>
      <c r="P124" s="234"/>
      <c r="Q124" s="260"/>
      <c r="R124" s="233"/>
      <c r="S124" s="233"/>
      <c r="T124" s="261"/>
      <c r="U124" s="55">
        <f t="shared" si="1"/>
        <v>1.3008627290504997</v>
      </c>
    </row>
    <row r="125" spans="1:21" s="219" customFormat="1" ht="12" customHeight="1">
      <c r="A125" s="262">
        <f>A122+1</f>
        <v>3</v>
      </c>
      <c r="B125" s="242" t="s">
        <v>225</v>
      </c>
      <c r="C125" s="523" t="s">
        <v>226</v>
      </c>
      <c r="D125" s="243" t="s">
        <v>35</v>
      </c>
      <c r="E125" s="263">
        <v>4.8</v>
      </c>
      <c r="F125" s="245"/>
      <c r="G125" s="210">
        <v>1.55</v>
      </c>
      <c r="H125" s="245"/>
      <c r="I125" s="209"/>
      <c r="J125" s="210">
        <v>0.76</v>
      </c>
      <c r="K125" s="211"/>
      <c r="L125" s="264"/>
      <c r="M125" s="265"/>
      <c r="N125" s="266"/>
      <c r="O125" s="266"/>
      <c r="P125" s="245"/>
      <c r="Q125" s="267"/>
      <c r="R125" s="217">
        <f>G126+J126</f>
        <v>4.6944336</v>
      </c>
      <c r="S125" s="521"/>
      <c r="T125" s="525"/>
      <c r="U125" s="55">
        <f t="shared" si="1"/>
        <v>1.3008627290504997</v>
      </c>
    </row>
    <row r="126" spans="1:21" s="219" customFormat="1" ht="10.5" customHeight="1">
      <c r="A126" s="220"/>
      <c r="B126" s="249"/>
      <c r="C126" s="524"/>
      <c r="D126" s="250"/>
      <c r="E126" s="221"/>
      <c r="F126" s="241"/>
      <c r="G126" s="210">
        <f>G125*$J$13/1000</f>
        <v>2.6919780000000002</v>
      </c>
      <c r="H126" s="241"/>
      <c r="I126" s="222"/>
      <c r="J126" s="210">
        <f>J125*$Q$13/1000</f>
        <v>2.0024556000000002</v>
      </c>
      <c r="K126" s="223"/>
      <c r="L126" s="268"/>
      <c r="M126" s="269"/>
      <c r="N126" s="270"/>
      <c r="O126" s="271"/>
      <c r="P126" s="272"/>
      <c r="Q126" s="273"/>
      <c r="R126" s="521">
        <f>SUM(Q126:Q129)</f>
        <v>37.351018620686617</v>
      </c>
      <c r="S126" s="522"/>
      <c r="T126" s="526"/>
      <c r="U126" s="55">
        <f t="shared" si="1"/>
        <v>1.3008627290504997</v>
      </c>
    </row>
    <row r="127" spans="1:21" s="219" customFormat="1" ht="12" hidden="1">
      <c r="A127" s="220"/>
      <c r="B127" s="274"/>
      <c r="C127" s="524"/>
      <c r="D127" s="250"/>
      <c r="E127" s="221"/>
      <c r="F127" s="241"/>
      <c r="G127" s="275"/>
      <c r="H127" s="241"/>
      <c r="I127" s="222"/>
      <c r="J127" s="275"/>
      <c r="K127" s="223"/>
      <c r="L127" s="276" t="s">
        <v>65</v>
      </c>
      <c r="M127" s="277" t="s">
        <v>35</v>
      </c>
      <c r="N127" s="278">
        <v>1.0149999999999999</v>
      </c>
      <c r="O127" s="279">
        <f>E125*N127</f>
        <v>4.871999999999999</v>
      </c>
      <c r="P127" s="280">
        <v>29</v>
      </c>
      <c r="Q127" s="281">
        <f>N127*P127*$N$11</f>
        <v>33.596069944500009</v>
      </c>
      <c r="R127" s="522"/>
      <c r="S127" s="522"/>
      <c r="T127" s="526"/>
      <c r="U127" s="55">
        <f t="shared" si="1"/>
        <v>1.3008627290504997</v>
      </c>
    </row>
    <row r="128" spans="1:21" s="219" customFormat="1" ht="12" hidden="1">
      <c r="A128" s="220"/>
      <c r="B128" s="274"/>
      <c r="C128" s="524"/>
      <c r="D128" s="250"/>
      <c r="E128" s="221"/>
      <c r="F128" s="241"/>
      <c r="G128" s="275"/>
      <c r="H128" s="241"/>
      <c r="I128" s="222"/>
      <c r="J128" s="275"/>
      <c r="K128" s="223"/>
      <c r="L128" s="276" t="s">
        <v>36</v>
      </c>
      <c r="M128" s="277" t="s">
        <v>37</v>
      </c>
      <c r="N128" s="278">
        <v>0.80300000000000005</v>
      </c>
      <c r="O128" s="279">
        <f>E125*N128</f>
        <v>3.8544</v>
      </c>
      <c r="P128" s="280">
        <v>3.5</v>
      </c>
      <c r="Q128" s="281">
        <f>N128*P128*$N$11</f>
        <v>3.207805489350001</v>
      </c>
      <c r="R128" s="522"/>
      <c r="S128" s="522"/>
      <c r="T128" s="526"/>
      <c r="U128" s="55">
        <f t="shared" si="1"/>
        <v>1.3008627290504997</v>
      </c>
    </row>
    <row r="129" spans="1:21" s="219" customFormat="1" ht="12" hidden="1">
      <c r="A129" s="220"/>
      <c r="B129" s="274"/>
      <c r="C129" s="524"/>
      <c r="D129" s="250"/>
      <c r="E129" s="221"/>
      <c r="F129" s="241"/>
      <c r="G129" s="275"/>
      <c r="H129" s="241"/>
      <c r="I129" s="222"/>
      <c r="J129" s="275"/>
      <c r="K129" s="223"/>
      <c r="L129" s="282" t="s">
        <v>38</v>
      </c>
      <c r="M129" s="283" t="s">
        <v>35</v>
      </c>
      <c r="N129" s="284">
        <v>3.8999999999999998E-3</v>
      </c>
      <c r="O129" s="285">
        <f>E125*N129</f>
        <v>1.8719999999999997E-2</v>
      </c>
      <c r="P129" s="286">
        <v>122.917</v>
      </c>
      <c r="Q129" s="287">
        <f>N129*P129*$N$11</f>
        <v>0.54714318683661012</v>
      </c>
      <c r="R129" s="522"/>
      <c r="S129" s="522"/>
      <c r="T129" s="526"/>
      <c r="U129" s="55">
        <f t="shared" si="1"/>
        <v>1.3008627290504997</v>
      </c>
    </row>
    <row r="130" spans="1:21" s="219" customFormat="1">
      <c r="A130" s="229"/>
      <c r="B130" s="230"/>
      <c r="C130" s="231"/>
      <c r="D130" s="232"/>
      <c r="E130" s="233"/>
      <c r="F130" s="234"/>
      <c r="G130" s="235"/>
      <c r="H130" s="234"/>
      <c r="I130" s="236"/>
      <c r="J130" s="235"/>
      <c r="K130" s="237"/>
      <c r="L130" s="256"/>
      <c r="M130" s="257"/>
      <c r="N130" s="288"/>
      <c r="O130" s="288"/>
      <c r="P130" s="234"/>
      <c r="Q130" s="260"/>
      <c r="R130" s="233"/>
      <c r="S130" s="233"/>
      <c r="T130" s="261"/>
      <c r="U130" s="55">
        <f t="shared" si="1"/>
        <v>1.3008627290504997</v>
      </c>
    </row>
    <row r="131" spans="1:21" s="219" customFormat="1" ht="12.75" customHeight="1">
      <c r="A131" s="262">
        <f>A125+1</f>
        <v>4</v>
      </c>
      <c r="B131" s="242" t="s">
        <v>227</v>
      </c>
      <c r="C131" s="523" t="s">
        <v>228</v>
      </c>
      <c r="D131" s="243" t="s">
        <v>35</v>
      </c>
      <c r="E131" s="263">
        <v>5</v>
      </c>
      <c r="F131" s="245"/>
      <c r="G131" s="210">
        <v>1.55</v>
      </c>
      <c r="H131" s="245"/>
      <c r="I131" s="209"/>
      <c r="J131" s="210">
        <v>0.33</v>
      </c>
      <c r="K131" s="211"/>
      <c r="L131" s="264"/>
      <c r="M131" s="265"/>
      <c r="N131" s="266"/>
      <c r="O131" s="266"/>
      <c r="P131" s="245"/>
      <c r="Q131" s="267"/>
      <c r="R131" s="217">
        <f>G132+J132</f>
        <v>3.5614653000000001</v>
      </c>
      <c r="S131" s="521"/>
      <c r="T131" s="525"/>
      <c r="U131" s="55">
        <f t="shared" si="1"/>
        <v>1.3008627290504997</v>
      </c>
    </row>
    <row r="132" spans="1:21" s="219" customFormat="1" ht="11.25" customHeight="1">
      <c r="A132" s="220"/>
      <c r="B132" s="249"/>
      <c r="C132" s="524"/>
      <c r="D132" s="250"/>
      <c r="E132" s="221"/>
      <c r="F132" s="241"/>
      <c r="G132" s="210">
        <f>G131*$J$13/1000</f>
        <v>2.6919780000000002</v>
      </c>
      <c r="H132" s="241"/>
      <c r="I132" s="222"/>
      <c r="J132" s="210">
        <f>J131*$Q$13/1000</f>
        <v>0.86948729999999996</v>
      </c>
      <c r="K132" s="223"/>
      <c r="L132" s="268"/>
      <c r="M132" s="269"/>
      <c r="N132" s="270"/>
      <c r="O132" s="271"/>
      <c r="P132" s="272"/>
      <c r="Q132" s="273"/>
      <c r="R132" s="521">
        <f>SUM(Q132:Q136)</f>
        <v>39.762441684343358</v>
      </c>
      <c r="S132" s="522"/>
      <c r="T132" s="526"/>
      <c r="U132" s="55">
        <f t="shared" si="1"/>
        <v>1.3008627290504997</v>
      </c>
    </row>
    <row r="133" spans="1:21" s="219" customFormat="1" ht="12" hidden="1">
      <c r="A133" s="220"/>
      <c r="B133" s="274"/>
      <c r="C133" s="524"/>
      <c r="D133" s="250"/>
      <c r="E133" s="221"/>
      <c r="F133" s="241"/>
      <c r="G133" s="275"/>
      <c r="H133" s="241"/>
      <c r="I133" s="222"/>
      <c r="J133" s="275"/>
      <c r="K133" s="223"/>
      <c r="L133" s="276" t="s">
        <v>65</v>
      </c>
      <c r="M133" s="277" t="s">
        <v>35</v>
      </c>
      <c r="N133" s="278">
        <v>1.0149999999999999</v>
      </c>
      <c r="O133" s="279">
        <f>E131*N133</f>
        <v>5.0749999999999993</v>
      </c>
      <c r="P133" s="280">
        <v>29</v>
      </c>
      <c r="Q133" s="281">
        <f>N133*P133*$N$11</f>
        <v>33.596069944500009</v>
      </c>
      <c r="R133" s="522"/>
      <c r="S133" s="522"/>
      <c r="T133" s="526"/>
      <c r="U133" s="55">
        <f t="shared" si="1"/>
        <v>1.3008627290504997</v>
      </c>
    </row>
    <row r="134" spans="1:21" s="219" customFormat="1" ht="12" hidden="1">
      <c r="A134" s="220"/>
      <c r="B134" s="274"/>
      <c r="C134" s="524"/>
      <c r="D134" s="250"/>
      <c r="E134" s="221"/>
      <c r="F134" s="241"/>
      <c r="G134" s="275"/>
      <c r="H134" s="241"/>
      <c r="I134" s="222"/>
      <c r="J134" s="275"/>
      <c r="K134" s="223"/>
      <c r="L134" s="276" t="s">
        <v>36</v>
      </c>
      <c r="M134" s="277" t="s">
        <v>37</v>
      </c>
      <c r="N134" s="278">
        <v>0.70699999999999996</v>
      </c>
      <c r="O134" s="279">
        <f>E131*N134</f>
        <v>3.5349999999999997</v>
      </c>
      <c r="P134" s="280">
        <v>3.5</v>
      </c>
      <c r="Q134" s="281">
        <f>N134*P134*$N$11</f>
        <v>2.8243069501500004</v>
      </c>
      <c r="R134" s="522"/>
      <c r="S134" s="522"/>
      <c r="T134" s="526"/>
      <c r="U134" s="55">
        <f t="shared" si="1"/>
        <v>1.3008627290504997</v>
      </c>
    </row>
    <row r="135" spans="1:21" s="219" customFormat="1" ht="12" hidden="1">
      <c r="A135" s="220"/>
      <c r="B135" s="274"/>
      <c r="C135" s="524"/>
      <c r="D135" s="250"/>
      <c r="E135" s="221"/>
      <c r="F135" s="241"/>
      <c r="G135" s="275"/>
      <c r="H135" s="241"/>
      <c r="I135" s="222"/>
      <c r="J135" s="275"/>
      <c r="K135" s="223"/>
      <c r="L135" s="282" t="s">
        <v>38</v>
      </c>
      <c r="M135" s="283" t="s">
        <v>35</v>
      </c>
      <c r="N135" s="284">
        <f>0.0152+0.0013</f>
        <v>1.6500000000000001E-2</v>
      </c>
      <c r="O135" s="285">
        <f>E131*N135</f>
        <v>8.2500000000000004E-2</v>
      </c>
      <c r="P135" s="286">
        <v>122.917</v>
      </c>
      <c r="Q135" s="287">
        <f>N135*P135*$N$11</f>
        <v>2.3148365596933504</v>
      </c>
      <c r="R135" s="522"/>
      <c r="S135" s="522"/>
      <c r="T135" s="526"/>
      <c r="U135" s="55">
        <f t="shared" si="1"/>
        <v>1.3008627290504997</v>
      </c>
    </row>
    <row r="136" spans="1:21" s="219" customFormat="1" ht="12" hidden="1">
      <c r="A136" s="220"/>
      <c r="B136" s="274"/>
      <c r="C136" s="289"/>
      <c r="D136" s="250"/>
      <c r="E136" s="221"/>
      <c r="F136" s="241"/>
      <c r="G136" s="275"/>
      <c r="H136" s="241"/>
      <c r="I136" s="222"/>
      <c r="J136" s="275"/>
      <c r="K136" s="223"/>
      <c r="L136" s="282" t="s">
        <v>229</v>
      </c>
      <c r="M136" s="283" t="s">
        <v>39</v>
      </c>
      <c r="N136" s="290">
        <v>0.9</v>
      </c>
      <c r="O136" s="285">
        <f>E131*N136</f>
        <v>4.5</v>
      </c>
      <c r="P136" s="286">
        <v>1</v>
      </c>
      <c r="Q136" s="287">
        <f>N136*P136*$N$11</f>
        <v>1.0272282300000002</v>
      </c>
      <c r="R136" s="221"/>
      <c r="S136" s="221"/>
      <c r="T136" s="291"/>
      <c r="U136" s="55">
        <f t="shared" si="1"/>
        <v>1.3008627290504997</v>
      </c>
    </row>
    <row r="137" spans="1:21" s="219" customFormat="1">
      <c r="A137" s="229"/>
      <c r="B137" s="230"/>
      <c r="C137" s="231"/>
      <c r="D137" s="232"/>
      <c r="E137" s="233"/>
      <c r="F137" s="234"/>
      <c r="G137" s="235"/>
      <c r="H137" s="234"/>
      <c r="I137" s="236"/>
      <c r="J137" s="235"/>
      <c r="K137" s="237"/>
      <c r="L137" s="256"/>
      <c r="M137" s="257"/>
      <c r="N137" s="288"/>
      <c r="O137" s="288"/>
      <c r="P137" s="234"/>
      <c r="Q137" s="260"/>
      <c r="R137" s="233"/>
      <c r="S137" s="233"/>
      <c r="T137" s="261"/>
      <c r="U137" s="55">
        <f t="shared" si="1"/>
        <v>1.3008627290504997</v>
      </c>
    </row>
    <row r="138" spans="1:21" s="219" customFormat="1" ht="12">
      <c r="A138" s="203">
        <f>A131+1</f>
        <v>5</v>
      </c>
      <c r="B138" s="536" t="s">
        <v>230</v>
      </c>
      <c r="C138" s="523" t="s">
        <v>239</v>
      </c>
      <c r="D138" s="243" t="s">
        <v>232</v>
      </c>
      <c r="E138" s="263">
        <v>24.2</v>
      </c>
      <c r="F138" s="245"/>
      <c r="G138" s="210">
        <f>9.89*0.5</f>
        <v>4.9450000000000003</v>
      </c>
      <c r="H138" s="245"/>
      <c r="I138" s="209"/>
      <c r="J138" s="210">
        <v>0.08</v>
      </c>
      <c r="K138" s="211"/>
      <c r="L138" s="264"/>
      <c r="M138" s="265"/>
      <c r="N138" s="266"/>
      <c r="O138" s="292"/>
      <c r="P138" s="245"/>
      <c r="Q138" s="216"/>
      <c r="R138" s="217">
        <f>G139+J139</f>
        <v>8.7990630000000021</v>
      </c>
      <c r="S138" s="521"/>
      <c r="T138" s="525"/>
      <c r="U138" s="55">
        <f t="shared" si="1"/>
        <v>1.3008627290504997</v>
      </c>
    </row>
    <row r="139" spans="1:21" s="219" customFormat="1" ht="12">
      <c r="A139" s="220"/>
      <c r="B139" s="539"/>
      <c r="C139" s="524"/>
      <c r="D139" s="250"/>
      <c r="E139" s="221"/>
      <c r="F139" s="241"/>
      <c r="G139" s="210">
        <f>G138*$J$13/1000</f>
        <v>8.5882782000000013</v>
      </c>
      <c r="H139" s="241"/>
      <c r="I139" s="222"/>
      <c r="J139" s="210">
        <f>J138*$Q$13/1000</f>
        <v>0.21078479999999999</v>
      </c>
      <c r="K139" s="223"/>
      <c r="L139" s="268" t="s">
        <v>233</v>
      </c>
      <c r="M139" s="269" t="s">
        <v>26</v>
      </c>
      <c r="N139" s="293">
        <v>1</v>
      </c>
      <c r="O139" s="293">
        <f>E138*N139</f>
        <v>24.2</v>
      </c>
      <c r="P139" s="272">
        <v>3</v>
      </c>
      <c r="Q139" s="294">
        <f>N139*P139*$N$11</f>
        <v>3.4240941000000005</v>
      </c>
      <c r="R139" s="521">
        <f>SUM(Q139:Q140)</f>
        <v>3.6078538167000005</v>
      </c>
      <c r="S139" s="522"/>
      <c r="T139" s="526"/>
      <c r="U139" s="55">
        <f t="shared" si="1"/>
        <v>1.3008627290504997</v>
      </c>
    </row>
    <row r="140" spans="1:21" s="219" customFormat="1" ht="48" hidden="1">
      <c r="A140" s="220"/>
      <c r="B140" s="249" t="s">
        <v>234</v>
      </c>
      <c r="C140" s="524"/>
      <c r="D140" s="250"/>
      <c r="E140" s="221"/>
      <c r="F140" s="241"/>
      <c r="G140" s="275"/>
      <c r="H140" s="241"/>
      <c r="I140" s="222"/>
      <c r="J140" s="275"/>
      <c r="K140" s="223"/>
      <c r="L140" s="282" t="s">
        <v>40</v>
      </c>
      <c r="M140" s="283" t="s">
        <v>35</v>
      </c>
      <c r="N140" s="295">
        <v>7.0000000000000001E-3</v>
      </c>
      <c r="O140" s="295">
        <f>E138*N140</f>
        <v>0.1694</v>
      </c>
      <c r="P140" s="286">
        <v>23</v>
      </c>
      <c r="Q140" s="281">
        <f>N140*P140*$N$11</f>
        <v>0.18375971670000005</v>
      </c>
      <c r="R140" s="522"/>
      <c r="S140" s="522"/>
      <c r="T140" s="526"/>
      <c r="U140" s="55">
        <f t="shared" si="1"/>
        <v>1.3008627290504997</v>
      </c>
    </row>
    <row r="141" spans="1:21" s="219" customFormat="1" ht="12" hidden="1">
      <c r="A141" s="220"/>
      <c r="B141" s="274"/>
      <c r="C141" s="524"/>
      <c r="D141" s="250"/>
      <c r="E141" s="221"/>
      <c r="F141" s="241"/>
      <c r="G141" s="275"/>
      <c r="H141" s="241"/>
      <c r="I141" s="222"/>
      <c r="J141" s="275"/>
      <c r="K141" s="223"/>
      <c r="R141" s="522"/>
      <c r="S141" s="522"/>
      <c r="T141" s="526"/>
      <c r="U141" s="55">
        <f t="shared" si="1"/>
        <v>1.3008627290504997</v>
      </c>
    </row>
    <row r="142" spans="1:21" s="219" customFormat="1">
      <c r="A142" s="229"/>
      <c r="B142" s="230"/>
      <c r="C142" s="231"/>
      <c r="D142" s="232"/>
      <c r="E142" s="233"/>
      <c r="F142" s="234"/>
      <c r="G142" s="235"/>
      <c r="H142" s="234"/>
      <c r="I142" s="236"/>
      <c r="J142" s="235"/>
      <c r="K142" s="237"/>
      <c r="L142" s="256"/>
      <c r="M142" s="257"/>
      <c r="N142" s="258"/>
      <c r="O142" s="259"/>
      <c r="P142" s="234"/>
      <c r="Q142" s="260"/>
      <c r="R142" s="233"/>
      <c r="S142" s="233"/>
      <c r="T142" s="261"/>
      <c r="U142" s="55">
        <f t="shared" si="1"/>
        <v>1.3008627290504997</v>
      </c>
    </row>
    <row r="143" spans="1:21" s="219" customFormat="1" ht="13.5" customHeight="1">
      <c r="A143" s="262">
        <f>A138+1</f>
        <v>6</v>
      </c>
      <c r="B143" s="204" t="s">
        <v>160</v>
      </c>
      <c r="C143" s="523" t="s">
        <v>161</v>
      </c>
      <c r="D143" s="205" t="s">
        <v>31</v>
      </c>
      <c r="E143" s="296">
        <v>2.2000000000000002</v>
      </c>
      <c r="F143" s="207"/>
      <c r="G143" s="208">
        <v>56.2</v>
      </c>
      <c r="H143" s="207"/>
      <c r="I143" s="222"/>
      <c r="J143" s="275">
        <v>0</v>
      </c>
      <c r="K143" s="223"/>
      <c r="L143" s="212"/>
      <c r="M143" s="213"/>
      <c r="N143" s="214"/>
      <c r="O143" s="214"/>
      <c r="P143" s="215"/>
      <c r="Q143" s="216"/>
      <c r="R143" s="217">
        <f>G144+J144</f>
        <v>97.605912000000018</v>
      </c>
      <c r="S143" s="263"/>
      <c r="T143" s="218"/>
      <c r="U143" s="55">
        <f t="shared" si="1"/>
        <v>1.3008627290504997</v>
      </c>
    </row>
    <row r="144" spans="1:21" s="219" customFormat="1" ht="10.5" customHeight="1">
      <c r="A144" s="220"/>
      <c r="B144" s="204" t="s">
        <v>125</v>
      </c>
      <c r="C144" s="524"/>
      <c r="D144" s="205"/>
      <c r="E144" s="221"/>
      <c r="F144" s="207"/>
      <c r="G144" s="210">
        <f>G143*$J$13/1000</f>
        <v>97.605912000000018</v>
      </c>
      <c r="H144" s="207"/>
      <c r="I144" s="222"/>
      <c r="J144" s="210">
        <f>J143*$Q$6/1000</f>
        <v>0</v>
      </c>
      <c r="K144" s="223"/>
      <c r="L144" s="224"/>
      <c r="M144" s="225"/>
      <c r="N144" s="226"/>
      <c r="O144" s="226"/>
      <c r="P144" s="207"/>
      <c r="Q144" s="227"/>
      <c r="R144" s="221"/>
      <c r="S144" s="221"/>
      <c r="T144" s="228"/>
      <c r="U144" s="55">
        <f t="shared" si="1"/>
        <v>1.3008627290504997</v>
      </c>
    </row>
    <row r="145" spans="1:21" s="219" customFormat="1">
      <c r="A145" s="229"/>
      <c r="B145" s="230"/>
      <c r="C145" s="231"/>
      <c r="D145" s="232"/>
      <c r="E145" s="233"/>
      <c r="F145" s="234"/>
      <c r="G145" s="235"/>
      <c r="H145" s="234"/>
      <c r="I145" s="236"/>
      <c r="J145" s="235"/>
      <c r="K145" s="237"/>
      <c r="L145" s="238"/>
      <c r="M145" s="239"/>
      <c r="N145" s="240"/>
      <c r="O145" s="240"/>
      <c r="P145" s="241"/>
      <c r="Q145" s="227"/>
      <c r="R145" s="221"/>
      <c r="S145" s="221"/>
      <c r="T145" s="228"/>
      <c r="U145" s="55">
        <f t="shared" si="1"/>
        <v>1.3008627290504997</v>
      </c>
    </row>
    <row r="146" spans="1:21" s="219" customFormat="1" ht="15.75" customHeight="1">
      <c r="A146" s="262">
        <f>A143+1</f>
        <v>7</v>
      </c>
      <c r="B146" s="204" t="s">
        <v>160</v>
      </c>
      <c r="C146" s="523" t="s">
        <v>235</v>
      </c>
      <c r="D146" s="205" t="s">
        <v>31</v>
      </c>
      <c r="E146" s="296">
        <f>11/100</f>
        <v>0.11</v>
      </c>
      <c r="F146" s="207"/>
      <c r="G146" s="208">
        <v>56.2</v>
      </c>
      <c r="H146" s="207"/>
      <c r="I146" s="222"/>
      <c r="J146" s="275">
        <v>0</v>
      </c>
      <c r="K146" s="223"/>
      <c r="L146" s="212"/>
      <c r="M146" s="213"/>
      <c r="N146" s="214"/>
      <c r="O146" s="214"/>
      <c r="P146" s="215"/>
      <c r="Q146" s="216"/>
      <c r="R146" s="217">
        <f>G147+J147</f>
        <v>97.605912000000018</v>
      </c>
      <c r="S146" s="263"/>
      <c r="T146" s="218"/>
      <c r="U146" s="55">
        <f t="shared" si="1"/>
        <v>1.3008627290504997</v>
      </c>
    </row>
    <row r="147" spans="1:21" s="219" customFormat="1" ht="11.25" customHeight="1">
      <c r="A147" s="220"/>
      <c r="B147" s="204" t="s">
        <v>125</v>
      </c>
      <c r="C147" s="524"/>
      <c r="D147" s="205"/>
      <c r="E147" s="221"/>
      <c r="F147" s="207"/>
      <c r="G147" s="210">
        <f>G146*$J$13/1000</f>
        <v>97.605912000000018</v>
      </c>
      <c r="H147" s="207"/>
      <c r="I147" s="222"/>
      <c r="J147" s="210">
        <f>J146*$Q$6/1000</f>
        <v>0</v>
      </c>
      <c r="K147" s="223"/>
      <c r="L147" s="224"/>
      <c r="M147" s="225"/>
      <c r="N147" s="226"/>
      <c r="O147" s="226"/>
      <c r="P147" s="207"/>
      <c r="Q147" s="227"/>
      <c r="R147" s="221"/>
      <c r="S147" s="221"/>
      <c r="T147" s="228"/>
      <c r="U147" s="55">
        <f t="shared" si="1"/>
        <v>1.3008627290504997</v>
      </c>
    </row>
    <row r="148" spans="1:21" s="219" customFormat="1">
      <c r="A148" s="229"/>
      <c r="B148" s="230"/>
      <c r="C148" s="231"/>
      <c r="D148" s="232"/>
      <c r="E148" s="233"/>
      <c r="F148" s="234"/>
      <c r="G148" s="235"/>
      <c r="H148" s="234"/>
      <c r="I148" s="236"/>
      <c r="J148" s="235"/>
      <c r="K148" s="237"/>
      <c r="L148" s="238"/>
      <c r="M148" s="239"/>
      <c r="N148" s="240"/>
      <c r="O148" s="240"/>
      <c r="P148" s="241"/>
      <c r="Q148" s="227"/>
      <c r="R148" s="221"/>
      <c r="S148" s="221"/>
      <c r="T148" s="228"/>
      <c r="U148" s="55">
        <f t="shared" si="1"/>
        <v>1.3008627290504997</v>
      </c>
    </row>
    <row r="149" spans="1:21" s="117" customFormat="1" thickBot="1">
      <c r="A149" s="145"/>
      <c r="B149" s="146"/>
      <c r="C149" s="147" t="s">
        <v>25</v>
      </c>
      <c r="D149" s="148"/>
      <c r="E149" s="149"/>
      <c r="F149" s="150"/>
      <c r="G149" s="151"/>
      <c r="H149" s="150"/>
      <c r="I149" s="152"/>
      <c r="J149" s="151"/>
      <c r="K149" s="153"/>
      <c r="L149" s="154"/>
      <c r="M149" s="155"/>
      <c r="N149" s="156"/>
      <c r="O149" s="157"/>
      <c r="P149" s="150"/>
      <c r="Q149" s="151"/>
      <c r="R149" s="157"/>
      <c r="S149" s="157"/>
      <c r="T149" s="158">
        <f>SUM(T119:T148)</f>
        <v>0</v>
      </c>
      <c r="U149" s="55">
        <f t="shared" si="1"/>
        <v>1.3008627290504997</v>
      </c>
    </row>
    <row r="150" spans="1:21" s="117" customFormat="1" ht="9.75" customHeight="1" thickTop="1">
      <c r="A150" s="559" t="s">
        <v>289</v>
      </c>
      <c r="B150" s="560"/>
      <c r="C150" s="560"/>
      <c r="D150" s="560"/>
      <c r="E150" s="561"/>
      <c r="F150" s="509"/>
      <c r="G150" s="509"/>
      <c r="H150" s="509"/>
      <c r="I150" s="510"/>
      <c r="J150" s="509"/>
      <c r="K150" s="511"/>
      <c r="L150" s="509"/>
      <c r="M150" s="509"/>
      <c r="N150" s="509"/>
      <c r="O150" s="509"/>
      <c r="P150" s="509"/>
      <c r="Q150" s="509"/>
      <c r="R150" s="509"/>
      <c r="S150" s="568">
        <v>1.8E-3</v>
      </c>
      <c r="T150" s="569"/>
      <c r="U150" s="55">
        <f t="shared" ref="U150:U213" si="2">1.133*1.11*1.01*1.009*1.015</f>
        <v>1.3008627290504997</v>
      </c>
    </row>
    <row r="151" spans="1:21" s="117" customFormat="1" ht="12" hidden="1" customHeight="1">
      <c r="A151" s="562"/>
      <c r="B151" s="563"/>
      <c r="C151" s="563"/>
      <c r="D151" s="563"/>
      <c r="E151" s="564"/>
      <c r="F151" s="512"/>
      <c r="G151" s="512"/>
      <c r="H151" s="512"/>
      <c r="I151" s="513"/>
      <c r="J151" s="512"/>
      <c r="K151" s="514"/>
      <c r="L151" s="512"/>
      <c r="M151" s="512"/>
      <c r="N151" s="512"/>
      <c r="O151" s="512"/>
      <c r="P151" s="512"/>
      <c r="Q151" s="512"/>
      <c r="R151" s="512"/>
      <c r="S151" s="570"/>
      <c r="T151" s="571"/>
      <c r="U151" s="55">
        <f t="shared" si="2"/>
        <v>1.3008627290504997</v>
      </c>
    </row>
    <row r="152" spans="1:21" s="117" customFormat="1">
      <c r="A152" s="565"/>
      <c r="B152" s="566"/>
      <c r="C152" s="566"/>
      <c r="D152" s="566"/>
      <c r="E152" s="567"/>
      <c r="F152" s="515"/>
      <c r="G152" s="515"/>
      <c r="H152" s="515"/>
      <c r="I152" s="516"/>
      <c r="J152" s="515"/>
      <c r="K152" s="517"/>
      <c r="L152" s="515"/>
      <c r="M152" s="515"/>
      <c r="N152" s="515"/>
      <c r="O152" s="515"/>
      <c r="P152" s="515"/>
      <c r="Q152" s="515"/>
      <c r="R152" s="515"/>
      <c r="S152" s="572"/>
      <c r="T152" s="573"/>
      <c r="U152" s="55">
        <f t="shared" si="2"/>
        <v>1.3008627290504997</v>
      </c>
    </row>
    <row r="153" spans="1:21" s="117" customFormat="1" ht="12.75" customHeight="1">
      <c r="A153" s="102">
        <v>1</v>
      </c>
      <c r="B153" s="103" t="s">
        <v>245</v>
      </c>
      <c r="C153" s="548" t="s">
        <v>242</v>
      </c>
      <c r="D153" s="104" t="s">
        <v>33</v>
      </c>
      <c r="E153" s="297">
        <f>7.6/1000*4</f>
        <v>3.04E-2</v>
      </c>
      <c r="F153" s="106"/>
      <c r="G153" s="107">
        <v>23.1</v>
      </c>
      <c r="H153" s="106"/>
      <c r="I153" s="108"/>
      <c r="J153" s="107">
        <v>4.0999999999999996</v>
      </c>
      <c r="K153" s="109"/>
      <c r="L153" s="298"/>
      <c r="M153" s="299"/>
      <c r="N153" s="300"/>
      <c r="O153" s="301"/>
      <c r="P153" s="106"/>
      <c r="Q153" s="114"/>
      <c r="R153" s="115">
        <f>G154+J154</f>
        <v>50.921877000000002</v>
      </c>
      <c r="S153" s="550"/>
      <c r="T153" s="552"/>
      <c r="U153" s="55">
        <f t="shared" si="2"/>
        <v>1.3008627290504997</v>
      </c>
    </row>
    <row r="154" spans="1:21" s="117" customFormat="1" ht="12">
      <c r="A154" s="118"/>
      <c r="B154" s="302"/>
      <c r="C154" s="549"/>
      <c r="D154" s="120"/>
      <c r="E154" s="121"/>
      <c r="F154" s="122"/>
      <c r="G154" s="210">
        <f>G153*$J$13/1000</f>
        <v>40.119156000000004</v>
      </c>
      <c r="H154" s="241"/>
      <c r="I154" s="222"/>
      <c r="J154" s="210">
        <f>J153*$Q$13/1000</f>
        <v>10.802721</v>
      </c>
      <c r="K154" s="124"/>
      <c r="L154" s="303" t="s">
        <v>240</v>
      </c>
      <c r="M154" s="304" t="s">
        <v>33</v>
      </c>
      <c r="N154" s="305">
        <v>1</v>
      </c>
      <c r="O154" s="305">
        <f>E153*N154</f>
        <v>3.04E-2</v>
      </c>
      <c r="P154" s="306">
        <v>312.70800000000003</v>
      </c>
      <c r="Q154" s="294">
        <f>N154*P154*$N$11</f>
        <v>356.91387260760013</v>
      </c>
      <c r="R154" s="550">
        <f>SUM(Q154:Q155)</f>
        <v>360.55608150177011</v>
      </c>
      <c r="S154" s="551"/>
      <c r="T154" s="553"/>
      <c r="U154" s="55">
        <f t="shared" si="2"/>
        <v>1.3008627290504997</v>
      </c>
    </row>
    <row r="155" spans="1:21" s="117" customFormat="1" ht="12" hidden="1">
      <c r="A155" s="118"/>
      <c r="B155" s="119"/>
      <c r="C155" s="549"/>
      <c r="D155" s="120"/>
      <c r="E155" s="121"/>
      <c r="F155" s="122"/>
      <c r="G155" s="130"/>
      <c r="H155" s="122"/>
      <c r="I155" s="123"/>
      <c r="J155" s="130"/>
      <c r="K155" s="124"/>
      <c r="L155" s="282" t="s">
        <v>246</v>
      </c>
      <c r="M155" s="283" t="s">
        <v>39</v>
      </c>
      <c r="N155" s="295">
        <v>3.3</v>
      </c>
      <c r="O155" s="295">
        <f>E153*N155</f>
        <v>0.10031999999999999</v>
      </c>
      <c r="P155" s="286">
        <v>0.96699999999999997</v>
      </c>
      <c r="Q155" s="281">
        <f>N155*P155*$N$11</f>
        <v>3.6422088941700004</v>
      </c>
      <c r="R155" s="551"/>
      <c r="S155" s="551"/>
      <c r="T155" s="553"/>
      <c r="U155" s="55">
        <f t="shared" si="2"/>
        <v>1.3008627290504997</v>
      </c>
    </row>
    <row r="156" spans="1:21" s="117" customFormat="1">
      <c r="A156" s="131"/>
      <c r="B156" s="132"/>
      <c r="C156" s="133"/>
      <c r="D156" s="134"/>
      <c r="E156" s="135"/>
      <c r="F156" s="136"/>
      <c r="G156" s="137"/>
      <c r="H156" s="136"/>
      <c r="I156" s="138"/>
      <c r="J156" s="137"/>
      <c r="K156" s="139"/>
      <c r="L156" s="140"/>
      <c r="M156" s="141"/>
      <c r="N156" s="142"/>
      <c r="O156" s="307"/>
      <c r="P156" s="136"/>
      <c r="Q156" s="143"/>
      <c r="R156" s="135"/>
      <c r="S156" s="135"/>
      <c r="T156" s="144"/>
      <c r="U156" s="55">
        <f t="shared" si="2"/>
        <v>1.3008627290504997</v>
      </c>
    </row>
    <row r="157" spans="1:21" s="117" customFormat="1" ht="12" customHeight="1">
      <c r="A157" s="102">
        <f>A153+1</f>
        <v>2</v>
      </c>
      <c r="B157" s="103" t="s">
        <v>245</v>
      </c>
      <c r="C157" s="548" t="s">
        <v>243</v>
      </c>
      <c r="D157" s="104" t="s">
        <v>33</v>
      </c>
      <c r="E157" s="297">
        <f>7.6/1000*4</f>
        <v>3.04E-2</v>
      </c>
      <c r="F157" s="106"/>
      <c r="G157" s="107">
        <v>23.1</v>
      </c>
      <c r="H157" s="106"/>
      <c r="I157" s="108"/>
      <c r="J157" s="107">
        <v>4.0999999999999996</v>
      </c>
      <c r="K157" s="109"/>
      <c r="L157" s="298"/>
      <c r="M157" s="299"/>
      <c r="N157" s="300"/>
      <c r="O157" s="301"/>
      <c r="P157" s="106"/>
      <c r="Q157" s="114"/>
      <c r="R157" s="115">
        <f>G158+J158</f>
        <v>50.921877000000002</v>
      </c>
      <c r="S157" s="550"/>
      <c r="T157" s="552"/>
      <c r="U157" s="55">
        <f t="shared" si="2"/>
        <v>1.3008627290504997</v>
      </c>
    </row>
    <row r="158" spans="1:21" s="117" customFormat="1" ht="12" customHeight="1">
      <c r="A158" s="118"/>
      <c r="B158" s="302"/>
      <c r="C158" s="549"/>
      <c r="D158" s="120"/>
      <c r="E158" s="121"/>
      <c r="F158" s="122"/>
      <c r="G158" s="210">
        <f>G157*$J$13/1000</f>
        <v>40.119156000000004</v>
      </c>
      <c r="H158" s="241"/>
      <c r="I158" s="222"/>
      <c r="J158" s="210">
        <f>J157*$Q$13/1000</f>
        <v>10.802721</v>
      </c>
      <c r="K158" s="124"/>
      <c r="L158" s="303" t="s">
        <v>244</v>
      </c>
      <c r="M158" s="304" t="s">
        <v>33</v>
      </c>
      <c r="N158" s="305">
        <v>1</v>
      </c>
      <c r="O158" s="305">
        <f>E157*N158</f>
        <v>3.04E-2</v>
      </c>
      <c r="P158" s="306">
        <v>417</v>
      </c>
      <c r="Q158" s="294">
        <f>N158*P158*$N$11</f>
        <v>475.94907990000007</v>
      </c>
      <c r="R158" s="550">
        <f>SUM(Q158:Q159)</f>
        <v>479.59128879417005</v>
      </c>
      <c r="S158" s="551"/>
      <c r="T158" s="553"/>
      <c r="U158" s="55">
        <f t="shared" si="2"/>
        <v>1.3008627290504997</v>
      </c>
    </row>
    <row r="159" spans="1:21" s="117" customFormat="1" ht="12" hidden="1">
      <c r="A159" s="118"/>
      <c r="B159" s="119"/>
      <c r="C159" s="549"/>
      <c r="D159" s="120"/>
      <c r="E159" s="121"/>
      <c r="F159" s="122"/>
      <c r="G159" s="130"/>
      <c r="H159" s="122"/>
      <c r="I159" s="123"/>
      <c r="J159" s="130"/>
      <c r="K159" s="124"/>
      <c r="L159" s="282" t="s">
        <v>246</v>
      </c>
      <c r="M159" s="283" t="s">
        <v>39</v>
      </c>
      <c r="N159" s="295">
        <v>3.3</v>
      </c>
      <c r="O159" s="295">
        <f>E157*N159</f>
        <v>0.10031999999999999</v>
      </c>
      <c r="P159" s="286">
        <v>0.96699999999999997</v>
      </c>
      <c r="Q159" s="281">
        <f>N159*P159*$N$11</f>
        <v>3.6422088941700004</v>
      </c>
      <c r="R159" s="551"/>
      <c r="S159" s="551"/>
      <c r="T159" s="553"/>
      <c r="U159" s="55">
        <f t="shared" si="2"/>
        <v>1.3008627290504997</v>
      </c>
    </row>
    <row r="160" spans="1:21" s="117" customFormat="1">
      <c r="A160" s="131"/>
      <c r="B160" s="132"/>
      <c r="C160" s="133"/>
      <c r="D160" s="134"/>
      <c r="E160" s="135"/>
      <c r="F160" s="136"/>
      <c r="G160" s="137"/>
      <c r="H160" s="136"/>
      <c r="I160" s="138"/>
      <c r="J160" s="137"/>
      <c r="K160" s="139"/>
      <c r="L160" s="140"/>
      <c r="M160" s="141"/>
      <c r="N160" s="142"/>
      <c r="O160" s="307"/>
      <c r="P160" s="136"/>
      <c r="Q160" s="143"/>
      <c r="R160" s="135"/>
      <c r="S160" s="135"/>
      <c r="T160" s="144"/>
      <c r="U160" s="55">
        <f t="shared" si="2"/>
        <v>1.3008627290504997</v>
      </c>
    </row>
    <row r="161" spans="1:24" s="117" customFormat="1" ht="12.75" customHeight="1">
      <c r="A161" s="102">
        <f>A157+1</f>
        <v>3</v>
      </c>
      <c r="B161" s="103" t="s">
        <v>185</v>
      </c>
      <c r="C161" s="548" t="s">
        <v>294</v>
      </c>
      <c r="D161" s="104" t="s">
        <v>42</v>
      </c>
      <c r="E161" s="297">
        <f>1*4/1000</f>
        <v>4.0000000000000001E-3</v>
      </c>
      <c r="F161" s="106"/>
      <c r="G161" s="107">
        <v>21.4</v>
      </c>
      <c r="H161" s="106"/>
      <c r="I161" s="108"/>
      <c r="J161" s="107">
        <v>0.03</v>
      </c>
      <c r="K161" s="109"/>
      <c r="L161" s="298"/>
      <c r="M161" s="299"/>
      <c r="N161" s="300"/>
      <c r="O161" s="301"/>
      <c r="P161" s="106"/>
      <c r="Q161" s="114"/>
      <c r="R161" s="115">
        <f>G162+J162</f>
        <v>37.166663999999997</v>
      </c>
      <c r="S161" s="550"/>
      <c r="T161" s="552"/>
      <c r="U161" s="55">
        <f t="shared" si="2"/>
        <v>1.3008627290504997</v>
      </c>
    </row>
    <row r="162" spans="1:24" s="117" customFormat="1" ht="12" customHeight="1">
      <c r="A162" s="118"/>
      <c r="B162" s="558"/>
      <c r="C162" s="549"/>
      <c r="D162" s="120"/>
      <c r="E162" s="121"/>
      <c r="F162" s="122"/>
      <c r="G162" s="210">
        <f>G161*$J$13/1000</f>
        <v>37.166663999999997</v>
      </c>
      <c r="H162" s="207"/>
      <c r="I162" s="222"/>
      <c r="J162" s="210">
        <f>J161*$Q$6/1000</f>
        <v>0</v>
      </c>
      <c r="K162" s="124"/>
      <c r="L162" s="303"/>
      <c r="M162" s="308"/>
      <c r="N162" s="309"/>
      <c r="O162" s="309"/>
      <c r="P162" s="306"/>
      <c r="Q162" s="294"/>
      <c r="R162" s="550">
        <f>SUM(Q162:Q163)</f>
        <v>31.159256310000004</v>
      </c>
      <c r="S162" s="551"/>
      <c r="T162" s="553"/>
      <c r="U162" s="55">
        <f t="shared" si="2"/>
        <v>1.3008627290504997</v>
      </c>
    </row>
    <row r="163" spans="1:24" s="117" customFormat="1" ht="12.75" hidden="1" customHeight="1">
      <c r="A163" s="118"/>
      <c r="B163" s="558"/>
      <c r="C163" s="549"/>
      <c r="D163" s="120"/>
      <c r="E163" s="121"/>
      <c r="F163" s="122"/>
      <c r="G163" s="130"/>
      <c r="H163" s="122"/>
      <c r="I163" s="123"/>
      <c r="J163" s="130"/>
      <c r="K163" s="124"/>
      <c r="L163" s="310" t="s">
        <v>241</v>
      </c>
      <c r="M163" s="311" t="s">
        <v>39</v>
      </c>
      <c r="N163" s="312">
        <f>24.4+0.2+2.7</f>
        <v>27.299999999999997</v>
      </c>
      <c r="O163" s="312">
        <f>E161*N163</f>
        <v>0.10919999999999999</v>
      </c>
      <c r="P163" s="313">
        <v>1</v>
      </c>
      <c r="Q163" s="281">
        <f>N163*P163*$N$11</f>
        <v>31.159256310000004</v>
      </c>
      <c r="R163" s="551"/>
      <c r="S163" s="551"/>
      <c r="T163" s="553"/>
      <c r="U163" s="55">
        <f t="shared" si="2"/>
        <v>1.3008627290504997</v>
      </c>
    </row>
    <row r="164" spans="1:24" s="117" customFormat="1" ht="12.75" customHeight="1">
      <c r="A164" s="131"/>
      <c r="B164" s="132"/>
      <c r="C164" s="133"/>
      <c r="D164" s="134"/>
      <c r="E164" s="135"/>
      <c r="F164" s="136"/>
      <c r="G164" s="137"/>
      <c r="H164" s="136"/>
      <c r="I164" s="138"/>
      <c r="J164" s="137"/>
      <c r="K164" s="139"/>
      <c r="L164" s="140"/>
      <c r="M164" s="141"/>
      <c r="N164" s="142"/>
      <c r="O164" s="307"/>
      <c r="P164" s="136"/>
      <c r="Q164" s="143"/>
      <c r="R164" s="135"/>
      <c r="S164" s="135"/>
      <c r="T164" s="144"/>
      <c r="U164" s="55">
        <f t="shared" si="2"/>
        <v>1.3008627290504997</v>
      </c>
    </row>
    <row r="165" spans="1:24" s="117" customFormat="1" ht="12.75" customHeight="1">
      <c r="A165" s="145"/>
      <c r="B165" s="146"/>
      <c r="C165" s="147" t="s">
        <v>25</v>
      </c>
      <c r="D165" s="148"/>
      <c r="E165" s="149"/>
      <c r="F165" s="150"/>
      <c r="G165" s="151"/>
      <c r="H165" s="150"/>
      <c r="I165" s="152"/>
      <c r="J165" s="151"/>
      <c r="K165" s="153"/>
      <c r="L165" s="154"/>
      <c r="M165" s="155"/>
      <c r="N165" s="156"/>
      <c r="O165" s="157"/>
      <c r="P165" s="150"/>
      <c r="Q165" s="151"/>
      <c r="R165" s="157"/>
      <c r="S165" s="157"/>
      <c r="T165" s="158">
        <f>SUM(T153:T164)</f>
        <v>0</v>
      </c>
      <c r="U165" s="55">
        <f t="shared" si="2"/>
        <v>1.3008627290504997</v>
      </c>
    </row>
    <row r="166" spans="1:24" s="117" customFormat="1" ht="12.75" customHeight="1">
      <c r="A166" s="314"/>
      <c r="B166" s="582" t="s">
        <v>221</v>
      </c>
      <c r="C166" s="583"/>
      <c r="D166" s="315"/>
      <c r="E166" s="115"/>
      <c r="F166" s="113"/>
      <c r="G166" s="316"/>
      <c r="H166" s="113"/>
      <c r="I166" s="317"/>
      <c r="J166" s="316"/>
      <c r="K166" s="318"/>
      <c r="L166" s="110"/>
      <c r="M166" s="111"/>
      <c r="N166" s="112"/>
      <c r="O166" s="319"/>
      <c r="P166" s="113"/>
      <c r="Q166" s="114"/>
      <c r="R166" s="115"/>
      <c r="S166" s="115"/>
      <c r="T166" s="649">
        <v>2.86E-2</v>
      </c>
      <c r="U166" s="55">
        <f t="shared" si="2"/>
        <v>1.3008627290504997</v>
      </c>
      <c r="V166" s="185"/>
      <c r="W166" s="185"/>
      <c r="X166" s="185"/>
    </row>
    <row r="167" spans="1:24" ht="12.75" customHeight="1">
      <c r="A167" s="42">
        <v>1</v>
      </c>
      <c r="B167" s="43" t="s">
        <v>60</v>
      </c>
      <c r="C167" s="541" t="s">
        <v>59</v>
      </c>
      <c r="D167" s="44" t="s">
        <v>33</v>
      </c>
      <c r="E167" s="45">
        <f>(3.81+4.74+11+2.35)/2*78/1000</f>
        <v>0.85410000000000008</v>
      </c>
      <c r="F167" s="46"/>
      <c r="G167" s="47">
        <v>50.1</v>
      </c>
      <c r="H167" s="46"/>
      <c r="I167" s="48"/>
      <c r="J167" s="47">
        <v>3.2</v>
      </c>
      <c r="K167" s="49"/>
      <c r="L167" s="50"/>
      <c r="M167" s="51"/>
      <c r="N167" s="52"/>
      <c r="O167" s="52"/>
      <c r="P167" s="46"/>
      <c r="Q167" s="53"/>
      <c r="R167" s="54">
        <f>G168+J168</f>
        <v>95.443068000000011</v>
      </c>
      <c r="S167" s="550"/>
      <c r="T167" s="543"/>
      <c r="U167" s="55">
        <f t="shared" si="2"/>
        <v>1.3008627290504997</v>
      </c>
    </row>
    <row r="168" spans="1:24" ht="12" customHeight="1">
      <c r="A168" s="58"/>
      <c r="B168" s="59"/>
      <c r="C168" s="542"/>
      <c r="E168" s="61"/>
      <c r="G168" s="47">
        <f>G167*$J$13/1000</f>
        <v>87.011676000000008</v>
      </c>
      <c r="I168" s="63"/>
      <c r="J168" s="47">
        <f>J167*$Q$13/1000</f>
        <v>8.4313920000000007</v>
      </c>
      <c r="K168" s="64"/>
      <c r="L168" s="577"/>
      <c r="M168" s="65"/>
      <c r="N168" s="66"/>
      <c r="O168" s="67"/>
      <c r="P168" s="68"/>
      <c r="Q168" s="69"/>
      <c r="R168" s="533">
        <f>SUM(Q168:Q169)</f>
        <v>0</v>
      </c>
      <c r="S168" s="551"/>
      <c r="T168" s="544"/>
      <c r="U168" s="55">
        <f t="shared" si="2"/>
        <v>1.3008627290504997</v>
      </c>
    </row>
    <row r="169" spans="1:24" ht="12.75" hidden="1" customHeight="1">
      <c r="A169" s="58"/>
      <c r="C169" s="542"/>
      <c r="E169" s="61"/>
      <c r="I169" s="63"/>
      <c r="K169" s="64"/>
      <c r="L169" s="581"/>
      <c r="M169" s="72"/>
      <c r="N169" s="73"/>
      <c r="O169" s="73"/>
      <c r="P169" s="74"/>
      <c r="Q169" s="75"/>
      <c r="R169" s="534"/>
      <c r="S169" s="551"/>
      <c r="T169" s="544"/>
      <c r="U169" s="55">
        <f t="shared" si="2"/>
        <v>1.3008627290504997</v>
      </c>
    </row>
    <row r="170" spans="1:24" ht="12.75" customHeight="1">
      <c r="A170" s="76"/>
      <c r="B170" s="77"/>
      <c r="C170" s="78"/>
      <c r="D170" s="79"/>
      <c r="E170" s="80"/>
      <c r="F170" s="81"/>
      <c r="G170" s="82"/>
      <c r="H170" s="81"/>
      <c r="I170" s="83"/>
      <c r="J170" s="82"/>
      <c r="K170" s="84"/>
      <c r="O170" s="99"/>
      <c r="Q170" s="100"/>
      <c r="R170" s="61"/>
      <c r="S170" s="61"/>
      <c r="T170" s="101"/>
      <c r="U170" s="55">
        <f t="shared" si="2"/>
        <v>1.3008627290504997</v>
      </c>
    </row>
    <row r="171" spans="1:24" ht="12.75" customHeight="1">
      <c r="A171" s="320">
        <f>A167+1</f>
        <v>2</v>
      </c>
      <c r="B171" s="59" t="s">
        <v>44</v>
      </c>
      <c r="C171" s="541" t="s">
        <v>85</v>
      </c>
      <c r="D171" s="60" t="s">
        <v>26</v>
      </c>
      <c r="E171" s="61">
        <f>1.3/2*78</f>
        <v>50.7</v>
      </c>
      <c r="G171" s="71">
        <v>0</v>
      </c>
      <c r="I171" s="63"/>
      <c r="J171" s="71">
        <v>0</v>
      </c>
      <c r="K171" s="64"/>
      <c r="L171" s="50"/>
      <c r="M171" s="51"/>
      <c r="N171" s="52"/>
      <c r="O171" s="52"/>
      <c r="P171" s="46"/>
      <c r="Q171" s="53"/>
      <c r="R171" s="54">
        <f>G172+J172</f>
        <v>0</v>
      </c>
      <c r="S171" s="533"/>
      <c r="T171" s="543"/>
      <c r="U171" s="55">
        <f t="shared" si="2"/>
        <v>1.3008627290504997</v>
      </c>
    </row>
    <row r="172" spans="1:24" ht="12" customHeight="1">
      <c r="A172" s="58"/>
      <c r="C172" s="542"/>
      <c r="E172" s="61"/>
      <c r="G172" s="47">
        <f>G171*$J$13/1000</f>
        <v>0</v>
      </c>
      <c r="I172" s="63"/>
      <c r="J172" s="47">
        <f>J171*$Q$13/1000</f>
        <v>0</v>
      </c>
      <c r="K172" s="64"/>
      <c r="L172" s="577" t="s">
        <v>86</v>
      </c>
      <c r="M172" s="65" t="s">
        <v>26</v>
      </c>
      <c r="N172" s="66">
        <v>1</v>
      </c>
      <c r="O172" s="67">
        <f>E171*N172</f>
        <v>50.7</v>
      </c>
      <c r="P172" s="68">
        <v>1.0529999999999999</v>
      </c>
      <c r="Q172" s="69">
        <f>N172*P172*$N$11</f>
        <v>1.2018570291000001</v>
      </c>
      <c r="R172" s="61">
        <f>SUM(Q172:Q172)</f>
        <v>1.2018570291000001</v>
      </c>
      <c r="S172" s="534"/>
      <c r="T172" s="544"/>
      <c r="U172" s="55">
        <f t="shared" si="2"/>
        <v>1.3008627290504997</v>
      </c>
    </row>
    <row r="173" spans="1:24" ht="12.75" hidden="1" customHeight="1">
      <c r="A173" s="58"/>
      <c r="C173" s="542"/>
      <c r="E173" s="61"/>
      <c r="I173" s="63"/>
      <c r="K173" s="64"/>
      <c r="L173" s="578"/>
      <c r="M173" s="177"/>
      <c r="N173" s="321"/>
      <c r="O173" s="321"/>
      <c r="P173" s="322"/>
      <c r="Q173" s="180"/>
      <c r="R173" s="61"/>
      <c r="S173" s="61"/>
      <c r="T173" s="101"/>
      <c r="U173" s="55">
        <f t="shared" si="2"/>
        <v>1.3008627290504997</v>
      </c>
    </row>
    <row r="174" spans="1:24" ht="12.75" customHeight="1">
      <c r="A174" s="76"/>
      <c r="B174" s="77"/>
      <c r="C174" s="78"/>
      <c r="D174" s="79"/>
      <c r="E174" s="80"/>
      <c r="F174" s="81"/>
      <c r="G174" s="82"/>
      <c r="H174" s="81"/>
      <c r="I174" s="83"/>
      <c r="J174" s="82"/>
      <c r="K174" s="84"/>
      <c r="O174" s="99"/>
      <c r="Q174" s="100"/>
      <c r="R174" s="61"/>
      <c r="S174" s="61"/>
      <c r="T174" s="101"/>
      <c r="U174" s="55">
        <f t="shared" si="2"/>
        <v>1.3008627290504997</v>
      </c>
    </row>
    <row r="175" spans="1:24" ht="12.75" customHeight="1">
      <c r="A175" s="320">
        <f>A171+1</f>
        <v>3</v>
      </c>
      <c r="B175" s="59" t="s">
        <v>44</v>
      </c>
      <c r="C175" s="541" t="s">
        <v>61</v>
      </c>
      <c r="D175" s="60" t="s">
        <v>26</v>
      </c>
      <c r="E175" s="61">
        <f>2/2*78</f>
        <v>78</v>
      </c>
      <c r="G175" s="71">
        <v>0</v>
      </c>
      <c r="I175" s="63"/>
      <c r="J175" s="71">
        <v>0</v>
      </c>
      <c r="K175" s="64"/>
      <c r="L175" s="50"/>
      <c r="M175" s="51"/>
      <c r="N175" s="52"/>
      <c r="O175" s="52"/>
      <c r="P175" s="46"/>
      <c r="Q175" s="53"/>
      <c r="R175" s="54">
        <f>G176+J176</f>
        <v>0</v>
      </c>
      <c r="S175" s="533"/>
      <c r="T175" s="543"/>
      <c r="U175" s="55">
        <f t="shared" si="2"/>
        <v>1.3008627290504997</v>
      </c>
    </row>
    <row r="176" spans="1:24" ht="12" customHeight="1">
      <c r="A176" s="58"/>
      <c r="C176" s="542"/>
      <c r="E176" s="61"/>
      <c r="G176" s="47">
        <f>G175*$J$13/1000</f>
        <v>0</v>
      </c>
      <c r="I176" s="63"/>
      <c r="J176" s="47">
        <f>J175*$Q$13/1000</f>
        <v>0</v>
      </c>
      <c r="K176" s="64"/>
      <c r="L176" s="577" t="s">
        <v>62</v>
      </c>
      <c r="M176" s="65" t="s">
        <v>26</v>
      </c>
      <c r="N176" s="66">
        <v>1</v>
      </c>
      <c r="O176" s="67">
        <f>E175*N176</f>
        <v>78</v>
      </c>
      <c r="P176" s="68">
        <v>0.82799999999999996</v>
      </c>
      <c r="Q176" s="69">
        <f>N176*P176*$N$11</f>
        <v>0.94504997160000015</v>
      </c>
      <c r="R176" s="61">
        <f>SUM(Q176:Q176)</f>
        <v>0.94504997160000015</v>
      </c>
      <c r="S176" s="534"/>
      <c r="T176" s="544"/>
      <c r="U176" s="55">
        <f t="shared" si="2"/>
        <v>1.3008627290504997</v>
      </c>
    </row>
    <row r="177" spans="1:24" ht="12.75" hidden="1" customHeight="1">
      <c r="A177" s="58"/>
      <c r="C177" s="542"/>
      <c r="E177" s="61"/>
      <c r="I177" s="63"/>
      <c r="K177" s="64"/>
      <c r="L177" s="578"/>
      <c r="M177" s="177"/>
      <c r="N177" s="321"/>
      <c r="O177" s="321"/>
      <c r="P177" s="322"/>
      <c r="Q177" s="180"/>
      <c r="R177" s="61"/>
      <c r="S177" s="61"/>
      <c r="T177" s="101"/>
      <c r="U177" s="55">
        <f t="shared" si="2"/>
        <v>1.3008627290504997</v>
      </c>
    </row>
    <row r="178" spans="1:24" ht="12.75" customHeight="1">
      <c r="A178" s="76"/>
      <c r="B178" s="77"/>
      <c r="C178" s="78"/>
      <c r="D178" s="79"/>
      <c r="E178" s="80"/>
      <c r="F178" s="81"/>
      <c r="G178" s="82"/>
      <c r="H178" s="81"/>
      <c r="I178" s="83"/>
      <c r="J178" s="82"/>
      <c r="K178" s="84"/>
      <c r="O178" s="99"/>
      <c r="Q178" s="100"/>
      <c r="R178" s="61"/>
      <c r="S178" s="61"/>
      <c r="T178" s="101"/>
      <c r="U178" s="55">
        <f t="shared" si="2"/>
        <v>1.3008627290504997</v>
      </c>
    </row>
    <row r="179" spans="1:24" ht="12.75" customHeight="1">
      <c r="A179" s="320">
        <f>A175+1</f>
        <v>4</v>
      </c>
      <c r="B179" s="59" t="s">
        <v>44</v>
      </c>
      <c r="C179" s="541" t="s">
        <v>87</v>
      </c>
      <c r="D179" s="60" t="s">
        <v>26</v>
      </c>
      <c r="E179" s="61">
        <f>3.14/2*78*2</f>
        <v>244.92000000000002</v>
      </c>
      <c r="G179" s="71">
        <v>0</v>
      </c>
      <c r="I179" s="63"/>
      <c r="J179" s="71">
        <v>0</v>
      </c>
      <c r="K179" s="64"/>
      <c r="L179" s="50"/>
      <c r="M179" s="51"/>
      <c r="N179" s="52"/>
      <c r="O179" s="52"/>
      <c r="P179" s="46"/>
      <c r="Q179" s="53"/>
      <c r="R179" s="54">
        <f>G180+J180</f>
        <v>0</v>
      </c>
      <c r="S179" s="533"/>
      <c r="T179" s="543"/>
      <c r="U179" s="55">
        <f t="shared" si="2"/>
        <v>1.3008627290504997</v>
      </c>
    </row>
    <row r="180" spans="1:24" ht="12.75" customHeight="1">
      <c r="A180" s="58"/>
      <c r="C180" s="542"/>
      <c r="E180" s="61"/>
      <c r="G180" s="47">
        <f>G179*$J$13/1000</f>
        <v>0</v>
      </c>
      <c r="I180" s="63"/>
      <c r="J180" s="47">
        <f>J179*$Q$13/1000</f>
        <v>0</v>
      </c>
      <c r="K180" s="64"/>
      <c r="L180" s="577" t="s">
        <v>88</v>
      </c>
      <c r="M180" s="65" t="s">
        <v>26</v>
      </c>
      <c r="N180" s="66">
        <v>1</v>
      </c>
      <c r="O180" s="67">
        <f>E179*N180</f>
        <v>244.92000000000002</v>
      </c>
      <c r="P180" s="68">
        <v>0.63600000000000001</v>
      </c>
      <c r="Q180" s="69">
        <f>N180*P180*$N$11</f>
        <v>0.72590794920000012</v>
      </c>
      <c r="R180" s="61">
        <f>SUM(Q180:Q180)</f>
        <v>0.72590794920000012</v>
      </c>
      <c r="S180" s="534"/>
      <c r="T180" s="544"/>
      <c r="U180" s="55">
        <f t="shared" si="2"/>
        <v>1.3008627290504997</v>
      </c>
    </row>
    <row r="181" spans="1:24" ht="12.75" hidden="1" customHeight="1">
      <c r="A181" s="58"/>
      <c r="C181" s="542"/>
      <c r="E181" s="61"/>
      <c r="I181" s="63"/>
      <c r="K181" s="64"/>
      <c r="L181" s="578"/>
      <c r="M181" s="177"/>
      <c r="N181" s="321"/>
      <c r="O181" s="321"/>
      <c r="P181" s="322"/>
      <c r="Q181" s="180"/>
      <c r="R181" s="61"/>
      <c r="S181" s="61"/>
      <c r="T181" s="101"/>
      <c r="U181" s="55">
        <f t="shared" si="2"/>
        <v>1.3008627290504997</v>
      </c>
    </row>
    <row r="182" spans="1:24" ht="12.75" customHeight="1">
      <c r="A182" s="76"/>
      <c r="B182" s="77"/>
      <c r="C182" s="78"/>
      <c r="D182" s="79"/>
      <c r="E182" s="80"/>
      <c r="F182" s="81"/>
      <c r="G182" s="82"/>
      <c r="H182" s="81"/>
      <c r="I182" s="83"/>
      <c r="J182" s="82"/>
      <c r="K182" s="84"/>
      <c r="O182" s="99"/>
      <c r="Q182" s="100"/>
      <c r="R182" s="61"/>
      <c r="S182" s="61"/>
      <c r="T182" s="101"/>
      <c r="U182" s="55">
        <f t="shared" si="2"/>
        <v>1.3008627290504997</v>
      </c>
    </row>
    <row r="183" spans="1:24" ht="12.75" customHeight="1">
      <c r="A183" s="42">
        <f>A179+1</f>
        <v>5</v>
      </c>
      <c r="B183" s="43" t="s">
        <v>44</v>
      </c>
      <c r="C183" s="541" t="s">
        <v>89</v>
      </c>
      <c r="D183" s="44" t="s">
        <v>33</v>
      </c>
      <c r="E183" s="90">
        <f>2.35/2*78/1000</f>
        <v>9.1650000000000009E-2</v>
      </c>
      <c r="F183" s="46"/>
      <c r="G183" s="47">
        <v>0</v>
      </c>
      <c r="H183" s="46"/>
      <c r="I183" s="48"/>
      <c r="J183" s="47">
        <v>0</v>
      </c>
      <c r="K183" s="49"/>
      <c r="L183" s="50"/>
      <c r="M183" s="51"/>
      <c r="N183" s="52"/>
      <c r="O183" s="52"/>
      <c r="P183" s="46"/>
      <c r="Q183" s="53"/>
      <c r="R183" s="54">
        <f>G184+J184</f>
        <v>0</v>
      </c>
      <c r="S183" s="533"/>
      <c r="T183" s="543"/>
      <c r="U183" s="55">
        <f t="shared" si="2"/>
        <v>1.3008627290504997</v>
      </c>
    </row>
    <row r="184" spans="1:24" ht="12.75" customHeight="1">
      <c r="A184" s="58"/>
      <c r="C184" s="542"/>
      <c r="E184" s="61"/>
      <c r="G184" s="47">
        <f>G183*$J$13/1000</f>
        <v>0</v>
      </c>
      <c r="I184" s="63"/>
      <c r="J184" s="47">
        <f>J183*$Q$13/1000</f>
        <v>0</v>
      </c>
      <c r="K184" s="64"/>
      <c r="L184" s="577" t="s">
        <v>57</v>
      </c>
      <c r="M184" s="65" t="s">
        <v>33</v>
      </c>
      <c r="N184" s="66">
        <v>1</v>
      </c>
      <c r="O184" s="67">
        <f>E183*N184</f>
        <v>9.1650000000000009E-2</v>
      </c>
      <c r="P184" s="68">
        <v>422</v>
      </c>
      <c r="Q184" s="69">
        <f>N184*P184*$N$11</f>
        <v>481.65590340000011</v>
      </c>
      <c r="R184" s="61">
        <f>SUM(Q184:Q184)</f>
        <v>481.65590340000011</v>
      </c>
      <c r="S184" s="534"/>
      <c r="T184" s="544"/>
      <c r="U184" s="55">
        <f t="shared" si="2"/>
        <v>1.3008627290504997</v>
      </c>
    </row>
    <row r="185" spans="1:24" ht="0.75" customHeight="1">
      <c r="A185" s="58"/>
      <c r="C185" s="542"/>
      <c r="E185" s="61"/>
      <c r="I185" s="63"/>
      <c r="K185" s="64"/>
      <c r="L185" s="578"/>
      <c r="M185" s="177"/>
      <c r="N185" s="321"/>
      <c r="O185" s="321"/>
      <c r="P185" s="322"/>
      <c r="Q185" s="180"/>
      <c r="R185" s="61"/>
      <c r="S185" s="61"/>
      <c r="T185" s="101"/>
      <c r="U185" s="55">
        <f t="shared" si="2"/>
        <v>1.3008627290504997</v>
      </c>
    </row>
    <row r="186" spans="1:24" ht="12.75" customHeight="1">
      <c r="A186" s="76"/>
      <c r="B186" s="77"/>
      <c r="C186" s="78"/>
      <c r="D186" s="79"/>
      <c r="E186" s="80"/>
      <c r="F186" s="81"/>
      <c r="G186" s="82"/>
      <c r="H186" s="81"/>
      <c r="I186" s="83"/>
      <c r="J186" s="82"/>
      <c r="K186" s="84"/>
      <c r="L186" s="85"/>
      <c r="M186" s="86"/>
      <c r="N186" s="87"/>
      <c r="O186" s="87"/>
      <c r="P186" s="81"/>
      <c r="Q186" s="88"/>
      <c r="R186" s="80"/>
      <c r="S186" s="80"/>
      <c r="T186" s="89"/>
      <c r="U186" s="55">
        <f t="shared" si="2"/>
        <v>1.3008627290504997</v>
      </c>
    </row>
    <row r="187" spans="1:24" ht="12.75" customHeight="1">
      <c r="A187" s="42">
        <f>A183+1</f>
        <v>6</v>
      </c>
      <c r="B187" s="59" t="s">
        <v>55</v>
      </c>
      <c r="C187" s="541" t="s">
        <v>63</v>
      </c>
      <c r="D187" s="60" t="s">
        <v>42</v>
      </c>
      <c r="E187" s="61">
        <f>E167*26/100</f>
        <v>0.22206600000000001</v>
      </c>
      <c r="G187" s="71">
        <v>38.4</v>
      </c>
      <c r="I187" s="63"/>
      <c r="J187" s="71">
        <v>0.03</v>
      </c>
      <c r="K187" s="64"/>
      <c r="L187" s="50"/>
      <c r="M187" s="51"/>
      <c r="N187" s="52"/>
      <c r="O187" s="52"/>
      <c r="P187" s="46"/>
      <c r="Q187" s="53"/>
      <c r="R187" s="54">
        <f>G188+J188</f>
        <v>66.770628300000013</v>
      </c>
      <c r="S187" s="533"/>
      <c r="T187" s="543"/>
      <c r="U187" s="55">
        <f t="shared" si="2"/>
        <v>1.3008627290504997</v>
      </c>
    </row>
    <row r="188" spans="1:24" ht="12.75" customHeight="1">
      <c r="A188" s="58"/>
      <c r="B188" s="59" t="s">
        <v>56</v>
      </c>
      <c r="C188" s="542"/>
      <c r="E188" s="61"/>
      <c r="G188" s="47">
        <f>G187*$J$13/1000</f>
        <v>66.691584000000006</v>
      </c>
      <c r="I188" s="63"/>
      <c r="J188" s="47">
        <f>J187*$Q$13/1000</f>
        <v>7.9044299999999998E-2</v>
      </c>
      <c r="K188" s="64"/>
      <c r="L188" s="323" t="s">
        <v>43</v>
      </c>
      <c r="M188" s="324" t="s">
        <v>39</v>
      </c>
      <c r="N188" s="325">
        <v>27.3</v>
      </c>
      <c r="O188" s="326">
        <f>E187*N188</f>
        <v>6.0624018000000008</v>
      </c>
      <c r="P188" s="327">
        <v>1.02</v>
      </c>
      <c r="Q188" s="69">
        <f>N188*P188*$N$11</f>
        <v>31.782441436200006</v>
      </c>
      <c r="R188" s="61">
        <f>SUM(Q188:Q188)</f>
        <v>31.782441436200006</v>
      </c>
      <c r="S188" s="534"/>
      <c r="T188" s="544"/>
      <c r="U188" s="55">
        <f t="shared" si="2"/>
        <v>1.3008627290504997</v>
      </c>
    </row>
    <row r="189" spans="1:24" ht="12.75" hidden="1" customHeight="1">
      <c r="A189" s="58"/>
      <c r="C189" s="542"/>
      <c r="E189" s="61"/>
      <c r="I189" s="63"/>
      <c r="K189" s="64"/>
      <c r="O189" s="99"/>
      <c r="Q189" s="100"/>
      <c r="R189" s="61"/>
      <c r="S189" s="61"/>
      <c r="T189" s="101"/>
      <c r="U189" s="55">
        <f t="shared" si="2"/>
        <v>1.3008627290504997</v>
      </c>
    </row>
    <row r="190" spans="1:24" ht="12.75" hidden="1" customHeight="1">
      <c r="A190" s="58"/>
      <c r="C190" s="542"/>
      <c r="E190" s="61"/>
      <c r="I190" s="63"/>
      <c r="K190" s="64"/>
      <c r="O190" s="99"/>
      <c r="Q190" s="100"/>
      <c r="R190" s="61"/>
      <c r="S190" s="61"/>
      <c r="T190" s="101"/>
      <c r="U190" s="55">
        <f t="shared" si="2"/>
        <v>1.3008627290504997</v>
      </c>
    </row>
    <row r="191" spans="1:24" ht="12.75" customHeight="1">
      <c r="A191" s="76"/>
      <c r="B191" s="77"/>
      <c r="C191" s="78"/>
      <c r="D191" s="79"/>
      <c r="E191" s="80"/>
      <c r="F191" s="81"/>
      <c r="G191" s="82"/>
      <c r="H191" s="81"/>
      <c r="I191" s="83"/>
      <c r="J191" s="82"/>
      <c r="K191" s="84"/>
      <c r="L191" s="85"/>
      <c r="M191" s="86"/>
      <c r="N191" s="87"/>
      <c r="O191" s="87"/>
      <c r="P191" s="81"/>
      <c r="Q191" s="88"/>
      <c r="R191" s="80"/>
      <c r="S191" s="80"/>
      <c r="T191" s="89"/>
      <c r="U191" s="55">
        <f t="shared" si="2"/>
        <v>1.3008627290504997</v>
      </c>
    </row>
    <row r="192" spans="1:24" s="117" customFormat="1" ht="12.75" customHeight="1">
      <c r="A192" s="314"/>
      <c r="B192" s="582" t="s">
        <v>250</v>
      </c>
      <c r="C192" s="583"/>
      <c r="D192" s="315"/>
      <c r="E192" s="115"/>
      <c r="F192" s="113"/>
      <c r="G192" s="316"/>
      <c r="H192" s="113"/>
      <c r="I192" s="317"/>
      <c r="J192" s="316"/>
      <c r="K192" s="318"/>
      <c r="L192" s="110"/>
      <c r="M192" s="111"/>
      <c r="N192" s="112"/>
      <c r="O192" s="319"/>
      <c r="P192" s="113"/>
      <c r="Q192" s="114"/>
      <c r="R192" s="115"/>
      <c r="S192" s="115"/>
      <c r="T192" s="649">
        <v>2.5100000000000001E-2</v>
      </c>
      <c r="U192" s="55">
        <f t="shared" si="2"/>
        <v>1.3008627290504997</v>
      </c>
      <c r="V192" s="185"/>
      <c r="W192" s="185"/>
      <c r="X192" s="185"/>
    </row>
    <row r="193" spans="1:21" ht="12.75" customHeight="1">
      <c r="A193" s="42">
        <v>1</v>
      </c>
      <c r="B193" s="43" t="s">
        <v>60</v>
      </c>
      <c r="C193" s="541" t="s">
        <v>59</v>
      </c>
      <c r="D193" s="44" t="s">
        <v>33</v>
      </c>
      <c r="E193" s="45">
        <f>(3.81+4.74+11+2.35)/2*78/1000</f>
        <v>0.85410000000000008</v>
      </c>
      <c r="F193" s="46"/>
      <c r="G193" s="47">
        <v>50.1</v>
      </c>
      <c r="H193" s="46"/>
      <c r="I193" s="48"/>
      <c r="J193" s="47">
        <v>3.2</v>
      </c>
      <c r="K193" s="49"/>
      <c r="L193" s="50"/>
      <c r="M193" s="51"/>
      <c r="N193" s="52"/>
      <c r="O193" s="52"/>
      <c r="P193" s="46"/>
      <c r="Q193" s="53"/>
      <c r="R193" s="54">
        <f>G194+J194</f>
        <v>95.443068000000011</v>
      </c>
      <c r="S193" s="533"/>
      <c r="T193" s="543"/>
      <c r="U193" s="55">
        <f t="shared" si="2"/>
        <v>1.3008627290504997</v>
      </c>
    </row>
    <row r="194" spans="1:21" ht="12" customHeight="1">
      <c r="A194" s="58"/>
      <c r="B194" s="59"/>
      <c r="C194" s="542"/>
      <c r="E194" s="61"/>
      <c r="G194" s="47">
        <f>G193*$J$13/1000</f>
        <v>87.011676000000008</v>
      </c>
      <c r="I194" s="63"/>
      <c r="J194" s="47">
        <f>J193*$Q$13/1000</f>
        <v>8.4313920000000007</v>
      </c>
      <c r="K194" s="64"/>
      <c r="L194" s="577"/>
      <c r="M194" s="65"/>
      <c r="N194" s="66"/>
      <c r="O194" s="67"/>
      <c r="P194" s="68"/>
      <c r="Q194" s="69"/>
      <c r="R194" s="533">
        <f>SUM(Q194:Q195)</f>
        <v>0</v>
      </c>
      <c r="S194" s="534"/>
      <c r="T194" s="544"/>
      <c r="U194" s="55">
        <f t="shared" si="2"/>
        <v>1.3008627290504997</v>
      </c>
    </row>
    <row r="195" spans="1:21" ht="12.75" hidden="1" customHeight="1">
      <c r="A195" s="58"/>
      <c r="C195" s="542"/>
      <c r="E195" s="61"/>
      <c r="I195" s="63"/>
      <c r="K195" s="64"/>
      <c r="L195" s="581"/>
      <c r="M195" s="72"/>
      <c r="N195" s="73"/>
      <c r="O195" s="73"/>
      <c r="P195" s="74"/>
      <c r="Q195" s="75"/>
      <c r="R195" s="534"/>
      <c r="S195" s="534"/>
      <c r="T195" s="544"/>
      <c r="U195" s="55">
        <f t="shared" si="2"/>
        <v>1.3008627290504997</v>
      </c>
    </row>
    <row r="196" spans="1:21" ht="12.75" customHeight="1">
      <c r="A196" s="76"/>
      <c r="B196" s="77"/>
      <c r="C196" s="78"/>
      <c r="D196" s="79"/>
      <c r="E196" s="80"/>
      <c r="F196" s="81"/>
      <c r="G196" s="82"/>
      <c r="H196" s="81"/>
      <c r="I196" s="83"/>
      <c r="J196" s="82"/>
      <c r="K196" s="84"/>
      <c r="O196" s="99"/>
      <c r="Q196" s="100"/>
      <c r="R196" s="61"/>
      <c r="S196" s="61"/>
      <c r="T196" s="101"/>
      <c r="U196" s="55">
        <f t="shared" si="2"/>
        <v>1.3008627290504997</v>
      </c>
    </row>
    <row r="197" spans="1:21" ht="12.75" customHeight="1">
      <c r="A197" s="320">
        <f>A193+1</f>
        <v>2</v>
      </c>
      <c r="B197" s="59" t="s">
        <v>44</v>
      </c>
      <c r="C197" s="541" t="s">
        <v>249</v>
      </c>
      <c r="D197" s="60" t="s">
        <v>26</v>
      </c>
      <c r="E197" s="61">
        <f>2.5/2.5*24*2</f>
        <v>48</v>
      </c>
      <c r="G197" s="71">
        <v>0</v>
      </c>
      <c r="I197" s="63"/>
      <c r="J197" s="71">
        <v>0</v>
      </c>
      <c r="K197" s="64"/>
      <c r="L197" s="50"/>
      <c r="M197" s="51"/>
      <c r="N197" s="52"/>
      <c r="O197" s="52"/>
      <c r="P197" s="46"/>
      <c r="Q197" s="53"/>
      <c r="R197" s="54">
        <f>G198+J198</f>
        <v>0</v>
      </c>
      <c r="S197" s="533"/>
      <c r="T197" s="543"/>
      <c r="U197" s="55">
        <f t="shared" si="2"/>
        <v>1.3008627290504997</v>
      </c>
    </row>
    <row r="198" spans="1:21" ht="12.75" customHeight="1">
      <c r="A198" s="58"/>
      <c r="C198" s="542"/>
      <c r="E198" s="61"/>
      <c r="G198" s="47">
        <f>G197*$J$13/1000</f>
        <v>0</v>
      </c>
      <c r="I198" s="63"/>
      <c r="J198" s="47">
        <f>J197*$Q$13/1000</f>
        <v>0</v>
      </c>
      <c r="K198" s="64"/>
      <c r="L198" s="577" t="s">
        <v>251</v>
      </c>
      <c r="M198" s="65" t="s">
        <v>26</v>
      </c>
      <c r="N198" s="66">
        <v>1</v>
      </c>
      <c r="O198" s="67">
        <f>E197*N198</f>
        <v>48</v>
      </c>
      <c r="P198" s="68">
        <v>2.7189999999999999</v>
      </c>
      <c r="Q198" s="69">
        <f>N198*P198*$N$11</f>
        <v>3.1033706193000006</v>
      </c>
      <c r="R198" s="61">
        <f>SUM(Q198:Q198)</f>
        <v>3.1033706193000006</v>
      </c>
      <c r="S198" s="534"/>
      <c r="T198" s="544"/>
      <c r="U198" s="55">
        <f t="shared" si="2"/>
        <v>1.3008627290504997</v>
      </c>
    </row>
    <row r="199" spans="1:21" ht="12.75" hidden="1" customHeight="1">
      <c r="A199" s="58"/>
      <c r="C199" s="542"/>
      <c r="E199" s="61"/>
      <c r="I199" s="63"/>
      <c r="K199" s="64"/>
      <c r="L199" s="578"/>
      <c r="M199" s="177"/>
      <c r="N199" s="321"/>
      <c r="O199" s="321"/>
      <c r="P199" s="322"/>
      <c r="Q199" s="180"/>
      <c r="R199" s="61"/>
      <c r="S199" s="61"/>
      <c r="T199" s="101"/>
      <c r="U199" s="55">
        <f t="shared" si="2"/>
        <v>1.3008627290504997</v>
      </c>
    </row>
    <row r="200" spans="1:21" ht="12.75" customHeight="1">
      <c r="A200" s="76"/>
      <c r="B200" s="77"/>
      <c r="C200" s="78"/>
      <c r="D200" s="79"/>
      <c r="E200" s="80"/>
      <c r="F200" s="81"/>
      <c r="G200" s="82"/>
      <c r="H200" s="81"/>
      <c r="I200" s="83"/>
      <c r="J200" s="82"/>
      <c r="K200" s="84"/>
      <c r="O200" s="99"/>
      <c r="Q200" s="100"/>
      <c r="R200" s="61"/>
      <c r="S200" s="61"/>
      <c r="T200" s="101"/>
      <c r="U200" s="55">
        <f t="shared" si="2"/>
        <v>1.3008627290504997</v>
      </c>
    </row>
    <row r="201" spans="1:21" ht="12.75" customHeight="1">
      <c r="A201" s="320">
        <f>A197+1</f>
        <v>3</v>
      </c>
      <c r="B201" s="59" t="s">
        <v>44</v>
      </c>
      <c r="C201" s="541" t="s">
        <v>252</v>
      </c>
      <c r="D201" s="60" t="s">
        <v>26</v>
      </c>
      <c r="E201" s="61">
        <f>(8+0.4)/2.5*24</f>
        <v>80.640000000000015</v>
      </c>
      <c r="G201" s="71">
        <v>0</v>
      </c>
      <c r="I201" s="63"/>
      <c r="J201" s="71">
        <v>0</v>
      </c>
      <c r="K201" s="64"/>
      <c r="L201" s="50"/>
      <c r="M201" s="51"/>
      <c r="N201" s="52"/>
      <c r="O201" s="52"/>
      <c r="P201" s="46"/>
      <c r="Q201" s="53"/>
      <c r="R201" s="54">
        <f>G202+J202</f>
        <v>0</v>
      </c>
      <c r="S201" s="533"/>
      <c r="T201" s="543"/>
      <c r="U201" s="55">
        <f t="shared" si="2"/>
        <v>1.3008627290504997</v>
      </c>
    </row>
    <row r="202" spans="1:21" ht="12" customHeight="1">
      <c r="A202" s="58"/>
      <c r="C202" s="542"/>
      <c r="E202" s="61"/>
      <c r="G202" s="47">
        <f>G201*$J$13/1000</f>
        <v>0</v>
      </c>
      <c r="I202" s="63"/>
      <c r="J202" s="47">
        <f>J201*$Q$13/1000</f>
        <v>0</v>
      </c>
      <c r="K202" s="64"/>
      <c r="L202" s="577" t="s">
        <v>253</v>
      </c>
      <c r="M202" s="65" t="s">
        <v>26</v>
      </c>
      <c r="N202" s="66">
        <v>1</v>
      </c>
      <c r="O202" s="67">
        <f>E201*N202</f>
        <v>80.640000000000015</v>
      </c>
      <c r="P202" s="68">
        <v>0.90200000000000002</v>
      </c>
      <c r="Q202" s="69">
        <f>N202*P202*$N$11</f>
        <v>1.0295109594000003</v>
      </c>
      <c r="R202" s="61">
        <f>SUM(Q202:Q202)</f>
        <v>1.0295109594000003</v>
      </c>
      <c r="S202" s="534"/>
      <c r="T202" s="544"/>
      <c r="U202" s="55">
        <f t="shared" si="2"/>
        <v>1.3008627290504997</v>
      </c>
    </row>
    <row r="203" spans="1:21" ht="12.75" hidden="1" customHeight="1">
      <c r="A203" s="58"/>
      <c r="C203" s="542"/>
      <c r="E203" s="61"/>
      <c r="I203" s="63"/>
      <c r="K203" s="64"/>
      <c r="L203" s="578"/>
      <c r="M203" s="177"/>
      <c r="N203" s="321"/>
      <c r="O203" s="321"/>
      <c r="P203" s="322"/>
      <c r="Q203" s="180"/>
      <c r="R203" s="61"/>
      <c r="S203" s="61"/>
      <c r="T203" s="101"/>
      <c r="U203" s="55">
        <f t="shared" si="2"/>
        <v>1.3008627290504997</v>
      </c>
    </row>
    <row r="204" spans="1:21" ht="12.75" customHeight="1">
      <c r="A204" s="76"/>
      <c r="B204" s="77"/>
      <c r="C204" s="78"/>
      <c r="D204" s="79"/>
      <c r="E204" s="80"/>
      <c r="F204" s="81"/>
      <c r="G204" s="82"/>
      <c r="H204" s="81"/>
      <c r="I204" s="83"/>
      <c r="J204" s="82"/>
      <c r="K204" s="84"/>
      <c r="O204" s="99"/>
      <c r="Q204" s="100"/>
      <c r="R204" s="61"/>
      <c r="S204" s="61"/>
      <c r="T204" s="101"/>
      <c r="U204" s="55">
        <f t="shared" si="2"/>
        <v>1.3008627290504997</v>
      </c>
    </row>
    <row r="205" spans="1:21" ht="12.75" customHeight="1">
      <c r="A205" s="42">
        <f>A209+1</f>
        <v>5</v>
      </c>
      <c r="B205" s="43" t="s">
        <v>44</v>
      </c>
      <c r="C205" s="541" t="s">
        <v>254</v>
      </c>
      <c r="D205" s="44" t="s">
        <v>33</v>
      </c>
      <c r="E205" s="45">
        <f>1.23/2.5*24/1000</f>
        <v>1.1807999999999999E-2</v>
      </c>
      <c r="F205" s="46"/>
      <c r="G205" s="47">
        <v>0</v>
      </c>
      <c r="H205" s="46"/>
      <c r="I205" s="48"/>
      <c r="J205" s="47">
        <v>0</v>
      </c>
      <c r="K205" s="49"/>
      <c r="L205" s="50"/>
      <c r="M205" s="51"/>
      <c r="N205" s="52"/>
      <c r="O205" s="52"/>
      <c r="P205" s="46"/>
      <c r="Q205" s="53"/>
      <c r="R205" s="54">
        <f>G206+J206</f>
        <v>0</v>
      </c>
      <c r="S205" s="533"/>
      <c r="T205" s="543"/>
      <c r="U205" s="55">
        <f t="shared" si="2"/>
        <v>1.3008627290504997</v>
      </c>
    </row>
    <row r="206" spans="1:21" ht="12" customHeight="1">
      <c r="A206" s="58"/>
      <c r="C206" s="542"/>
      <c r="E206" s="61"/>
      <c r="G206" s="47">
        <f>G205*$J$13/1000</f>
        <v>0</v>
      </c>
      <c r="I206" s="63"/>
      <c r="J206" s="47">
        <f>J205*$Q$13/1000</f>
        <v>0</v>
      </c>
      <c r="K206" s="64"/>
      <c r="L206" s="577" t="s">
        <v>57</v>
      </c>
      <c r="M206" s="65" t="s">
        <v>33</v>
      </c>
      <c r="N206" s="66">
        <v>1</v>
      </c>
      <c r="O206" s="67">
        <f>E205*N206</f>
        <v>1.1807999999999999E-2</v>
      </c>
      <c r="P206" s="68">
        <v>422</v>
      </c>
      <c r="Q206" s="69">
        <f>N206*P206*$N$11</f>
        <v>481.65590340000011</v>
      </c>
      <c r="R206" s="61">
        <f>SUM(Q206:Q206)</f>
        <v>481.65590340000011</v>
      </c>
      <c r="S206" s="534"/>
      <c r="T206" s="544"/>
      <c r="U206" s="55">
        <f t="shared" si="2"/>
        <v>1.3008627290504997</v>
      </c>
    </row>
    <row r="207" spans="1:21" ht="12.75" hidden="1" customHeight="1">
      <c r="A207" s="58"/>
      <c r="C207" s="542"/>
      <c r="E207" s="61"/>
      <c r="I207" s="63"/>
      <c r="K207" s="64"/>
      <c r="L207" s="578"/>
      <c r="M207" s="177"/>
      <c r="N207" s="321"/>
      <c r="O207" s="321"/>
      <c r="P207" s="322"/>
      <c r="Q207" s="180"/>
      <c r="R207" s="61"/>
      <c r="S207" s="61"/>
      <c r="T207" s="101"/>
      <c r="U207" s="55">
        <f t="shared" si="2"/>
        <v>1.3008627290504997</v>
      </c>
    </row>
    <row r="208" spans="1:21" ht="12.75" customHeight="1">
      <c r="A208" s="76"/>
      <c r="B208" s="77"/>
      <c r="C208" s="78"/>
      <c r="D208" s="79"/>
      <c r="E208" s="80"/>
      <c r="F208" s="81"/>
      <c r="G208" s="82"/>
      <c r="H208" s="81"/>
      <c r="I208" s="83"/>
      <c r="J208" s="82"/>
      <c r="K208" s="84"/>
      <c r="L208" s="85"/>
      <c r="M208" s="86"/>
      <c r="N208" s="87"/>
      <c r="O208" s="87"/>
      <c r="P208" s="81"/>
      <c r="Q208" s="88"/>
      <c r="R208" s="80"/>
      <c r="S208" s="80"/>
      <c r="T208" s="89"/>
      <c r="U208" s="55">
        <f t="shared" si="2"/>
        <v>1.3008627290504997</v>
      </c>
    </row>
    <row r="209" spans="1:24" ht="12.75" customHeight="1">
      <c r="A209" s="320">
        <f>A201+1</f>
        <v>4</v>
      </c>
      <c r="B209" s="59" t="s">
        <v>44</v>
      </c>
      <c r="C209" s="541" t="s">
        <v>255</v>
      </c>
      <c r="D209" s="60" t="s">
        <v>37</v>
      </c>
      <c r="E209" s="61">
        <f>4.4/2*24</f>
        <v>52.800000000000004</v>
      </c>
      <c r="G209" s="71">
        <v>0</v>
      </c>
      <c r="I209" s="63"/>
      <c r="J209" s="71">
        <v>0</v>
      </c>
      <c r="K209" s="64"/>
      <c r="L209" s="50"/>
      <c r="M209" s="51"/>
      <c r="N209" s="52"/>
      <c r="O209" s="52"/>
      <c r="P209" s="46"/>
      <c r="Q209" s="53"/>
      <c r="R209" s="54">
        <f>G210+J210</f>
        <v>0</v>
      </c>
      <c r="S209" s="533"/>
      <c r="T209" s="543"/>
      <c r="U209" s="55">
        <f t="shared" si="2"/>
        <v>1.3008627290504997</v>
      </c>
    </row>
    <row r="210" spans="1:24" ht="12" customHeight="1">
      <c r="A210" s="58"/>
      <c r="C210" s="542"/>
      <c r="E210" s="61"/>
      <c r="G210" s="47">
        <f>G209*$J$13/1000</f>
        <v>0</v>
      </c>
      <c r="I210" s="63"/>
      <c r="J210" s="47">
        <f>J209*$Q$13/1000</f>
        <v>0</v>
      </c>
      <c r="K210" s="64"/>
      <c r="L210" s="577" t="s">
        <v>255</v>
      </c>
      <c r="M210" s="65" t="s">
        <v>37</v>
      </c>
      <c r="N210" s="66">
        <v>1</v>
      </c>
      <c r="O210" s="67">
        <f>E209*N210</f>
        <v>52.800000000000004</v>
      </c>
      <c r="P210" s="68">
        <v>0.63900000000000001</v>
      </c>
      <c r="Q210" s="69">
        <f>N210*P210*$N$11</f>
        <v>0.72933204330000012</v>
      </c>
      <c r="R210" s="61">
        <f>SUM(Q210:Q210)</f>
        <v>0.72933204330000012</v>
      </c>
      <c r="S210" s="534"/>
      <c r="T210" s="544"/>
      <c r="U210" s="55">
        <f t="shared" si="2"/>
        <v>1.3008627290504997</v>
      </c>
    </row>
    <row r="211" spans="1:24" ht="12.75" hidden="1" customHeight="1">
      <c r="A211" s="58"/>
      <c r="C211" s="542"/>
      <c r="E211" s="61"/>
      <c r="I211" s="63"/>
      <c r="K211" s="64"/>
      <c r="L211" s="578"/>
      <c r="M211" s="177"/>
      <c r="N211" s="321"/>
      <c r="O211" s="321"/>
      <c r="P211" s="322"/>
      <c r="Q211" s="180"/>
      <c r="R211" s="61"/>
      <c r="S211" s="61"/>
      <c r="T211" s="101"/>
      <c r="U211" s="55">
        <f t="shared" si="2"/>
        <v>1.3008627290504997</v>
      </c>
    </row>
    <row r="212" spans="1:24" ht="12.75" customHeight="1">
      <c r="A212" s="76"/>
      <c r="B212" s="77"/>
      <c r="C212" s="78"/>
      <c r="D212" s="79"/>
      <c r="E212" s="80"/>
      <c r="F212" s="81"/>
      <c r="G212" s="82"/>
      <c r="H212" s="81"/>
      <c r="I212" s="83"/>
      <c r="J212" s="82"/>
      <c r="K212" s="84"/>
      <c r="O212" s="99"/>
      <c r="Q212" s="100"/>
      <c r="R212" s="61"/>
      <c r="S212" s="61"/>
      <c r="T212" s="101"/>
      <c r="U212" s="55">
        <f t="shared" si="2"/>
        <v>1.3008627290504997</v>
      </c>
    </row>
    <row r="213" spans="1:24" ht="12.75" customHeight="1">
      <c r="A213" s="42">
        <f>A217+1</f>
        <v>7</v>
      </c>
      <c r="B213" s="43" t="s">
        <v>44</v>
      </c>
      <c r="C213" s="541" t="s">
        <v>256</v>
      </c>
      <c r="D213" s="44" t="s">
        <v>33</v>
      </c>
      <c r="E213" s="45">
        <f>3.2/2.5*24/1000</f>
        <v>3.0719999999999997E-2</v>
      </c>
      <c r="F213" s="46"/>
      <c r="G213" s="47">
        <v>0</v>
      </c>
      <c r="H213" s="46"/>
      <c r="I213" s="48"/>
      <c r="J213" s="47">
        <v>0</v>
      </c>
      <c r="K213" s="49"/>
      <c r="L213" s="50"/>
      <c r="M213" s="51"/>
      <c r="N213" s="52"/>
      <c r="O213" s="52"/>
      <c r="P213" s="46"/>
      <c r="Q213" s="53"/>
      <c r="R213" s="54">
        <f>G214+J214</f>
        <v>0</v>
      </c>
      <c r="S213" s="533"/>
      <c r="T213" s="543"/>
      <c r="U213" s="55">
        <f t="shared" si="2"/>
        <v>1.3008627290504997</v>
      </c>
    </row>
    <row r="214" spans="1:24" ht="12.75" customHeight="1">
      <c r="A214" s="58"/>
      <c r="C214" s="542"/>
      <c r="E214" s="61"/>
      <c r="G214" s="47">
        <f>G213*$J$13/1000</f>
        <v>0</v>
      </c>
      <c r="I214" s="63"/>
      <c r="J214" s="47">
        <f>J213*$Q$13/1000</f>
        <v>0</v>
      </c>
      <c r="K214" s="64"/>
      <c r="L214" s="577" t="s">
        <v>256</v>
      </c>
      <c r="M214" s="65" t="s">
        <v>33</v>
      </c>
      <c r="N214" s="66">
        <v>1</v>
      </c>
      <c r="O214" s="67">
        <f>E213*N214</f>
        <v>3.0719999999999997E-2</v>
      </c>
      <c r="P214" s="68">
        <v>291.66699999999997</v>
      </c>
      <c r="Q214" s="69">
        <f>N214*P214*$N$11</f>
        <v>332.89841795490003</v>
      </c>
      <c r="R214" s="61">
        <f>SUM(Q214:Q214)</f>
        <v>332.89841795490003</v>
      </c>
      <c r="S214" s="534"/>
      <c r="T214" s="544"/>
      <c r="U214" s="55">
        <f t="shared" ref="U214:U277" si="3">1.133*1.11*1.01*1.009*1.015</f>
        <v>1.3008627290504997</v>
      </c>
    </row>
    <row r="215" spans="1:24" ht="12.75" hidden="1" customHeight="1">
      <c r="A215" s="58"/>
      <c r="C215" s="542"/>
      <c r="E215" s="61"/>
      <c r="I215" s="63"/>
      <c r="K215" s="64"/>
      <c r="L215" s="578"/>
      <c r="M215" s="177"/>
      <c r="N215" s="321"/>
      <c r="O215" s="321"/>
      <c r="P215" s="322"/>
      <c r="Q215" s="180"/>
      <c r="R215" s="61"/>
      <c r="S215" s="61"/>
      <c r="T215" s="101"/>
      <c r="U215" s="55">
        <f t="shared" si="3"/>
        <v>1.3008627290504997</v>
      </c>
    </row>
    <row r="216" spans="1:24" ht="12.75" customHeight="1">
      <c r="A216" s="76"/>
      <c r="B216" s="77"/>
      <c r="C216" s="78"/>
      <c r="D216" s="79"/>
      <c r="E216" s="80"/>
      <c r="F216" s="81"/>
      <c r="G216" s="82"/>
      <c r="H216" s="81"/>
      <c r="I216" s="83"/>
      <c r="J216" s="82"/>
      <c r="K216" s="84"/>
      <c r="L216" s="85"/>
      <c r="M216" s="86"/>
      <c r="N216" s="87"/>
      <c r="O216" s="87"/>
      <c r="P216" s="81"/>
      <c r="Q216" s="88"/>
      <c r="R216" s="80"/>
      <c r="S216" s="80"/>
      <c r="T216" s="89"/>
      <c r="U216" s="55">
        <f t="shared" si="3"/>
        <v>1.3008627290504997</v>
      </c>
    </row>
    <row r="217" spans="1:24" ht="12.75" customHeight="1">
      <c r="A217" s="42">
        <f>A205+1</f>
        <v>6</v>
      </c>
      <c r="B217" s="59" t="s">
        <v>55</v>
      </c>
      <c r="C217" s="541" t="s">
        <v>63</v>
      </c>
      <c r="D217" s="60" t="s">
        <v>42</v>
      </c>
      <c r="E217" s="61">
        <f>1.5*24/100</f>
        <v>0.36</v>
      </c>
      <c r="G217" s="71">
        <v>38.4</v>
      </c>
      <c r="I217" s="63"/>
      <c r="J217" s="71">
        <v>0.03</v>
      </c>
      <c r="K217" s="64"/>
      <c r="L217" s="50"/>
      <c r="M217" s="51"/>
      <c r="N217" s="52"/>
      <c r="O217" s="52"/>
      <c r="P217" s="46"/>
      <c r="Q217" s="53"/>
      <c r="R217" s="54">
        <f>G218+J218</f>
        <v>66.770628300000013</v>
      </c>
      <c r="S217" s="533"/>
      <c r="T217" s="543"/>
      <c r="U217" s="55">
        <f t="shared" si="3"/>
        <v>1.3008627290504997</v>
      </c>
    </row>
    <row r="218" spans="1:24" ht="12" customHeight="1">
      <c r="A218" s="58"/>
      <c r="B218" s="59" t="s">
        <v>56</v>
      </c>
      <c r="C218" s="542"/>
      <c r="E218" s="61"/>
      <c r="G218" s="47">
        <f>G217*$J$13/1000</f>
        <v>66.691584000000006</v>
      </c>
      <c r="I218" s="63"/>
      <c r="J218" s="47">
        <f>J217*$Q$13/1000</f>
        <v>7.9044299999999998E-2</v>
      </c>
      <c r="K218" s="64"/>
      <c r="L218" s="323" t="s">
        <v>43</v>
      </c>
      <c r="M218" s="324" t="s">
        <v>39</v>
      </c>
      <c r="N218" s="325">
        <v>27.3</v>
      </c>
      <c r="O218" s="326">
        <f>E217*N218</f>
        <v>9.8279999999999994</v>
      </c>
      <c r="P218" s="327">
        <v>1.02</v>
      </c>
      <c r="Q218" s="69">
        <f>N218*P218*$N$11</f>
        <v>31.782441436200006</v>
      </c>
      <c r="R218" s="61">
        <f>SUM(Q218:Q218)</f>
        <v>31.782441436200006</v>
      </c>
      <c r="S218" s="534"/>
      <c r="T218" s="544"/>
      <c r="U218" s="55">
        <f t="shared" si="3"/>
        <v>1.3008627290504997</v>
      </c>
    </row>
    <row r="219" spans="1:24" ht="12.75" hidden="1" customHeight="1">
      <c r="A219" s="58"/>
      <c r="C219" s="542"/>
      <c r="E219" s="61"/>
      <c r="I219" s="63"/>
      <c r="K219" s="64"/>
      <c r="O219" s="99"/>
      <c r="Q219" s="100"/>
      <c r="R219" s="61"/>
      <c r="S219" s="61"/>
      <c r="T219" s="101"/>
      <c r="U219" s="55">
        <f t="shared" si="3"/>
        <v>1.3008627290504997</v>
      </c>
    </row>
    <row r="220" spans="1:24" ht="12.75" hidden="1" customHeight="1">
      <c r="A220" s="58"/>
      <c r="C220" s="542"/>
      <c r="E220" s="61"/>
      <c r="I220" s="63"/>
      <c r="K220" s="64"/>
      <c r="O220" s="99"/>
      <c r="Q220" s="100"/>
      <c r="R220" s="61"/>
      <c r="S220" s="61"/>
      <c r="T220" s="101"/>
      <c r="U220" s="55">
        <f t="shared" si="3"/>
        <v>1.3008627290504997</v>
      </c>
    </row>
    <row r="221" spans="1:24" ht="12.75" customHeight="1">
      <c r="A221" s="76"/>
      <c r="B221" s="77"/>
      <c r="C221" s="78"/>
      <c r="D221" s="79"/>
      <c r="E221" s="80"/>
      <c r="F221" s="81"/>
      <c r="G221" s="82"/>
      <c r="H221" s="81"/>
      <c r="I221" s="83"/>
      <c r="J221" s="82"/>
      <c r="K221" s="84"/>
      <c r="L221" s="85"/>
      <c r="M221" s="86"/>
      <c r="N221" s="87"/>
      <c r="O221" s="87"/>
      <c r="P221" s="81"/>
      <c r="Q221" s="88"/>
      <c r="R221" s="80"/>
      <c r="S221" s="80"/>
      <c r="T221" s="89"/>
      <c r="U221" s="55">
        <f t="shared" si="3"/>
        <v>1.3008627290504997</v>
      </c>
    </row>
    <row r="222" spans="1:24" s="117" customFormat="1" ht="12.75" customHeight="1">
      <c r="A222" s="145"/>
      <c r="B222" s="146"/>
      <c r="C222" s="147" t="s">
        <v>25</v>
      </c>
      <c r="D222" s="148"/>
      <c r="E222" s="149"/>
      <c r="F222" s="150"/>
      <c r="G222" s="151"/>
      <c r="H222" s="150"/>
      <c r="I222" s="152"/>
      <c r="J222" s="151"/>
      <c r="K222" s="153"/>
      <c r="L222" s="154"/>
      <c r="M222" s="155"/>
      <c r="N222" s="156"/>
      <c r="O222" s="157"/>
      <c r="P222" s="150"/>
      <c r="Q222" s="151"/>
      <c r="R222" s="157"/>
      <c r="S222" s="157"/>
      <c r="T222" s="158"/>
      <c r="U222" s="55">
        <f t="shared" si="3"/>
        <v>1.3008627290504997</v>
      </c>
    </row>
    <row r="223" spans="1:24" ht="12.75" customHeight="1">
      <c r="A223" s="328"/>
      <c r="B223" s="329"/>
      <c r="C223" s="330" t="s">
        <v>247</v>
      </c>
      <c r="D223" s="331"/>
      <c r="E223" s="54"/>
      <c r="F223" s="94"/>
      <c r="G223" s="332"/>
      <c r="H223" s="94"/>
      <c r="I223" s="333"/>
      <c r="J223" s="332"/>
      <c r="K223" s="334"/>
      <c r="L223" s="91"/>
      <c r="M223" s="92"/>
      <c r="N223" s="93"/>
      <c r="O223" s="93"/>
      <c r="P223" s="94"/>
      <c r="Q223" s="95"/>
      <c r="R223" s="54"/>
      <c r="S223" s="54"/>
      <c r="T223" s="645">
        <v>9.2999999999999992E-3</v>
      </c>
      <c r="U223" s="55">
        <f t="shared" si="3"/>
        <v>1.3008627290504997</v>
      </c>
    </row>
    <row r="224" spans="1:24" s="219" customFormat="1" ht="12.75" customHeight="1">
      <c r="A224" s="42">
        <v>1</v>
      </c>
      <c r="B224" s="242" t="s">
        <v>51</v>
      </c>
      <c r="C224" s="523" t="s">
        <v>90</v>
      </c>
      <c r="D224" s="243" t="s">
        <v>31</v>
      </c>
      <c r="E224" s="244">
        <f>0.06*9/100</f>
        <v>5.4000000000000003E-3</v>
      </c>
      <c r="F224" s="245"/>
      <c r="G224" s="210">
        <v>110</v>
      </c>
      <c r="H224" s="245"/>
      <c r="I224" s="209"/>
      <c r="J224" s="210">
        <v>0</v>
      </c>
      <c r="K224" s="211"/>
      <c r="L224" s="212"/>
      <c r="M224" s="213"/>
      <c r="N224" s="247"/>
      <c r="O224" s="247"/>
      <c r="P224" s="215"/>
      <c r="Q224" s="216"/>
      <c r="R224" s="217">
        <f>G225+J225</f>
        <v>191.0436</v>
      </c>
      <c r="S224" s="533"/>
      <c r="T224" s="218"/>
      <c r="U224" s="55">
        <f t="shared" si="3"/>
        <v>1.3008627290504997</v>
      </c>
      <c r="V224" s="335"/>
      <c r="W224" s="335"/>
      <c r="X224" s="335"/>
    </row>
    <row r="225" spans="1:24" s="219" customFormat="1" ht="10.5" customHeight="1">
      <c r="A225" s="220"/>
      <c r="B225" s="249" t="s">
        <v>52</v>
      </c>
      <c r="C225" s="524"/>
      <c r="D225" s="250"/>
      <c r="E225" s="221"/>
      <c r="F225" s="241"/>
      <c r="G225" s="47">
        <f>G224*$J$13/1000</f>
        <v>191.0436</v>
      </c>
      <c r="H225" s="241"/>
      <c r="I225" s="222"/>
      <c r="J225" s="210">
        <f>J224*$Q$7/1000</f>
        <v>0</v>
      </c>
      <c r="K225" s="223"/>
      <c r="L225" s="238"/>
      <c r="M225" s="239"/>
      <c r="N225" s="336"/>
      <c r="O225" s="336"/>
      <c r="P225" s="241"/>
      <c r="Q225" s="227"/>
      <c r="R225" s="221"/>
      <c r="S225" s="534"/>
      <c r="T225" s="228"/>
      <c r="U225" s="55">
        <f t="shared" si="3"/>
        <v>1.3008627290504997</v>
      </c>
      <c r="V225" s="335"/>
      <c r="W225" s="335"/>
      <c r="X225" s="335"/>
    </row>
    <row r="226" spans="1:24" s="219" customFormat="1" ht="12.75" hidden="1" customHeight="1">
      <c r="A226" s="220"/>
      <c r="B226" s="274"/>
      <c r="C226" s="524"/>
      <c r="D226" s="250"/>
      <c r="E226" s="221"/>
      <c r="F226" s="241"/>
      <c r="G226" s="275"/>
      <c r="H226" s="241"/>
      <c r="I226" s="222"/>
      <c r="J226" s="275"/>
      <c r="K226" s="223"/>
      <c r="L226" s="238"/>
      <c r="M226" s="239"/>
      <c r="N226" s="336"/>
      <c r="O226" s="336"/>
      <c r="P226" s="241"/>
      <c r="Q226" s="227"/>
      <c r="R226" s="221"/>
      <c r="S226" s="221"/>
      <c r="T226" s="228"/>
      <c r="U226" s="55">
        <f t="shared" si="3"/>
        <v>1.3008627290504997</v>
      </c>
      <c r="V226" s="335"/>
      <c r="W226" s="335"/>
      <c r="X226" s="335"/>
    </row>
    <row r="227" spans="1:24" s="219" customFormat="1" ht="10.5" customHeight="1">
      <c r="A227" s="229"/>
      <c r="B227" s="230"/>
      <c r="C227" s="231"/>
      <c r="D227" s="232"/>
      <c r="E227" s="233"/>
      <c r="F227" s="234"/>
      <c r="G227" s="235"/>
      <c r="H227" s="234"/>
      <c r="I227" s="236"/>
      <c r="J227" s="235"/>
      <c r="K227" s="237"/>
      <c r="L227" s="256"/>
      <c r="M227" s="257"/>
      <c r="N227" s="258"/>
      <c r="O227" s="258"/>
      <c r="P227" s="234"/>
      <c r="Q227" s="260"/>
      <c r="R227" s="233"/>
      <c r="S227" s="233"/>
      <c r="T227" s="261"/>
      <c r="U227" s="55">
        <f t="shared" si="3"/>
        <v>1.3008627290504997</v>
      </c>
      <c r="V227" s="335"/>
      <c r="W227" s="335"/>
      <c r="X227" s="335"/>
    </row>
    <row r="228" spans="1:24" ht="12.75" customHeight="1">
      <c r="A228" s="320">
        <f>A224+1</f>
        <v>2</v>
      </c>
      <c r="B228" s="59" t="s">
        <v>34</v>
      </c>
      <c r="C228" s="542" t="s">
        <v>91</v>
      </c>
      <c r="D228" s="60" t="s">
        <v>35</v>
      </c>
      <c r="E228" s="61">
        <f>0.04*9</f>
        <v>0.36</v>
      </c>
      <c r="G228" s="71">
        <v>1.82</v>
      </c>
      <c r="I228" s="63"/>
      <c r="J228" s="71">
        <v>1.06</v>
      </c>
      <c r="K228" s="64"/>
      <c r="L228" s="337"/>
      <c r="M228" s="86"/>
      <c r="N228" s="171"/>
      <c r="O228" s="172"/>
      <c r="P228" s="81"/>
      <c r="Q228" s="88"/>
      <c r="R228" s="80">
        <f>G229+J229</f>
        <v>5.9538018000000008</v>
      </c>
      <c r="S228" s="533"/>
      <c r="T228" s="544"/>
      <c r="U228" s="55">
        <f t="shared" si="3"/>
        <v>1.3008627290504997</v>
      </c>
    </row>
    <row r="229" spans="1:24" ht="12.75" customHeight="1">
      <c r="A229" s="58"/>
      <c r="B229" s="59" t="s">
        <v>41</v>
      </c>
      <c r="C229" s="542"/>
      <c r="E229" s="61"/>
      <c r="G229" s="47">
        <f>G228*$J$13/1000</f>
        <v>3.1609032000000004</v>
      </c>
      <c r="I229" s="63"/>
      <c r="J229" s="47">
        <f>J228*$Q$13/1000</f>
        <v>2.7928986</v>
      </c>
      <c r="K229" s="64"/>
      <c r="L229" s="176" t="s">
        <v>48</v>
      </c>
      <c r="M229" s="177" t="s">
        <v>35</v>
      </c>
      <c r="N229" s="178">
        <f>0.97+0.27</f>
        <v>1.24</v>
      </c>
      <c r="O229" s="178">
        <f>E228*N229</f>
        <v>0.44639999999999996</v>
      </c>
      <c r="P229" s="179">
        <v>4</v>
      </c>
      <c r="Q229" s="180">
        <f>N229*P229*$N$11</f>
        <v>5.6611689120000008</v>
      </c>
      <c r="R229" s="61">
        <f>SUM(Q229:Q229)</f>
        <v>5.6611689120000008</v>
      </c>
      <c r="S229" s="534"/>
      <c r="T229" s="544"/>
      <c r="U229" s="55">
        <f t="shared" si="3"/>
        <v>1.3008627290504997</v>
      </c>
    </row>
    <row r="230" spans="1:24" ht="5.25" customHeight="1">
      <c r="A230" s="76"/>
      <c r="B230" s="77"/>
      <c r="C230" s="78"/>
      <c r="D230" s="79"/>
      <c r="E230" s="80"/>
      <c r="F230" s="81"/>
      <c r="G230" s="82"/>
      <c r="H230" s="81"/>
      <c r="I230" s="83"/>
      <c r="J230" s="82"/>
      <c r="K230" s="84"/>
      <c r="L230" s="85"/>
      <c r="M230" s="86"/>
      <c r="N230" s="171"/>
      <c r="O230" s="172"/>
      <c r="P230" s="81"/>
      <c r="Q230" s="88"/>
      <c r="R230" s="80"/>
      <c r="S230" s="80"/>
      <c r="T230" s="89"/>
      <c r="U230" s="55">
        <f t="shared" si="3"/>
        <v>1.3008627290504997</v>
      </c>
    </row>
    <row r="231" spans="1:24" ht="12.75" customHeight="1">
      <c r="A231" s="320">
        <f>A228+1</f>
        <v>3</v>
      </c>
      <c r="B231" s="43" t="s">
        <v>53</v>
      </c>
      <c r="C231" s="541" t="s">
        <v>64</v>
      </c>
      <c r="D231" s="44" t="s">
        <v>35</v>
      </c>
      <c r="E231" s="90">
        <f>0.05*9</f>
        <v>0.45</v>
      </c>
      <c r="F231" s="46"/>
      <c r="G231" s="47">
        <v>1.84</v>
      </c>
      <c r="H231" s="46"/>
      <c r="I231" s="48"/>
      <c r="J231" s="47">
        <v>0.2</v>
      </c>
      <c r="K231" s="49"/>
      <c r="L231" s="50"/>
      <c r="M231" s="51"/>
      <c r="N231" s="52"/>
      <c r="O231" s="52"/>
      <c r="P231" s="46"/>
      <c r="Q231" s="53"/>
      <c r="R231" s="54">
        <f>G232+J232</f>
        <v>3.7226004000000006</v>
      </c>
      <c r="S231" s="521"/>
      <c r="T231" s="543"/>
      <c r="U231" s="55">
        <f t="shared" si="3"/>
        <v>1.3008627290504997</v>
      </c>
    </row>
    <row r="232" spans="1:24" ht="12" customHeight="1">
      <c r="A232" s="58"/>
      <c r="B232" s="59" t="s">
        <v>54</v>
      </c>
      <c r="C232" s="542"/>
      <c r="E232" s="61"/>
      <c r="G232" s="47">
        <f>G231*$J$13/1000</f>
        <v>3.1956384000000004</v>
      </c>
      <c r="I232" s="63"/>
      <c r="J232" s="47">
        <f>J231*$Q$13/1000</f>
        <v>0.52696200000000004</v>
      </c>
      <c r="K232" s="64"/>
      <c r="L232" s="160"/>
      <c r="M232" s="65"/>
      <c r="N232" s="66"/>
      <c r="O232" s="67"/>
      <c r="P232" s="68"/>
      <c r="Q232" s="69"/>
      <c r="R232" s="533">
        <f>SUM(Q232:Q235)</f>
        <v>40.401461990254688</v>
      </c>
      <c r="S232" s="522"/>
      <c r="T232" s="544"/>
      <c r="U232" s="55">
        <f t="shared" si="3"/>
        <v>1.3008627290504997</v>
      </c>
    </row>
    <row r="233" spans="1:24" ht="12.75" hidden="1" customHeight="1">
      <c r="A233" s="58"/>
      <c r="C233" s="542"/>
      <c r="E233" s="61"/>
      <c r="I233" s="63"/>
      <c r="K233" s="64"/>
      <c r="L233" s="162" t="s">
        <v>65</v>
      </c>
      <c r="M233" s="163" t="s">
        <v>35</v>
      </c>
      <c r="N233" s="338">
        <v>1.0149999999999999</v>
      </c>
      <c r="O233" s="339">
        <f>E231*N233</f>
        <v>0.45674999999999999</v>
      </c>
      <c r="P233" s="165">
        <v>29</v>
      </c>
      <c r="Q233" s="166">
        <f>N233*P233*$N$11</f>
        <v>33.596069944500009</v>
      </c>
      <c r="R233" s="534"/>
      <c r="S233" s="522"/>
      <c r="T233" s="544"/>
      <c r="U233" s="55">
        <f t="shared" si="3"/>
        <v>1.3008627290504997</v>
      </c>
    </row>
    <row r="234" spans="1:24" ht="12.75" hidden="1" customHeight="1">
      <c r="A234" s="58"/>
      <c r="C234" s="542"/>
      <c r="E234" s="61"/>
      <c r="I234" s="63"/>
      <c r="K234" s="64"/>
      <c r="L234" s="162" t="s">
        <v>36</v>
      </c>
      <c r="M234" s="163" t="s">
        <v>37</v>
      </c>
      <c r="N234" s="338">
        <v>1.24</v>
      </c>
      <c r="O234" s="339">
        <f>E231*N234</f>
        <v>0.55800000000000005</v>
      </c>
      <c r="P234" s="165">
        <v>3.5</v>
      </c>
      <c r="Q234" s="166">
        <f>N234*P234*$N$11</f>
        <v>4.9535227980000007</v>
      </c>
      <c r="R234" s="534"/>
      <c r="S234" s="522"/>
      <c r="T234" s="544"/>
      <c r="U234" s="55">
        <f t="shared" si="3"/>
        <v>1.3008627290504997</v>
      </c>
    </row>
    <row r="235" spans="1:24" ht="12.75" hidden="1" customHeight="1">
      <c r="A235" s="58"/>
      <c r="C235" s="542"/>
      <c r="E235" s="61"/>
      <c r="I235" s="63"/>
      <c r="K235" s="64"/>
      <c r="L235" s="167" t="s">
        <v>38</v>
      </c>
      <c r="M235" s="168" t="s">
        <v>35</v>
      </c>
      <c r="N235" s="340">
        <v>1.32E-2</v>
      </c>
      <c r="O235" s="341">
        <f>E231*N235</f>
        <v>5.94E-3</v>
      </c>
      <c r="P235" s="170">
        <v>122.917</v>
      </c>
      <c r="Q235" s="342">
        <f>N235*P235*$N$11</f>
        <v>1.8518692477546803</v>
      </c>
      <c r="R235" s="534"/>
      <c r="S235" s="522"/>
      <c r="T235" s="544"/>
      <c r="U235" s="55">
        <f t="shared" si="3"/>
        <v>1.3008627290504997</v>
      </c>
    </row>
    <row r="236" spans="1:24" ht="12.75" customHeight="1">
      <c r="A236" s="76"/>
      <c r="B236" s="77"/>
      <c r="C236" s="78"/>
      <c r="D236" s="79"/>
      <c r="E236" s="80"/>
      <c r="F236" s="81"/>
      <c r="G236" s="82"/>
      <c r="H236" s="81"/>
      <c r="I236" s="83"/>
      <c r="J236" s="82"/>
      <c r="K236" s="84"/>
      <c r="L236" s="85"/>
      <c r="M236" s="86"/>
      <c r="N236" s="87"/>
      <c r="O236" s="87"/>
      <c r="P236" s="81"/>
      <c r="Q236" s="88"/>
      <c r="R236" s="80"/>
      <c r="S236" s="80"/>
      <c r="T236" s="89"/>
      <c r="U236" s="55">
        <f t="shared" si="3"/>
        <v>1.3008627290504997</v>
      </c>
    </row>
    <row r="237" spans="1:24" s="117" customFormat="1" ht="12.75" customHeight="1">
      <c r="A237" s="102">
        <f>A231+1</f>
        <v>4</v>
      </c>
      <c r="B237" s="103" t="s">
        <v>70</v>
      </c>
      <c r="C237" s="548" t="s">
        <v>92</v>
      </c>
      <c r="D237" s="104" t="s">
        <v>33</v>
      </c>
      <c r="E237" s="105">
        <f>0.06*1.6*9</f>
        <v>0.86399999999999999</v>
      </c>
      <c r="F237" s="106"/>
      <c r="G237" s="107">
        <v>0.15</v>
      </c>
      <c r="H237" s="106"/>
      <c r="I237" s="108"/>
      <c r="J237" s="107">
        <v>0.5</v>
      </c>
      <c r="K237" s="109"/>
      <c r="L237" s="110"/>
      <c r="M237" s="111"/>
      <c r="N237" s="112"/>
      <c r="O237" s="112"/>
      <c r="P237" s="113"/>
      <c r="Q237" s="114"/>
      <c r="R237" s="115">
        <f>G238+J238</f>
        <v>1.5779190000000001</v>
      </c>
      <c r="S237" s="533"/>
      <c r="T237" s="116"/>
      <c r="U237" s="55">
        <f t="shared" si="3"/>
        <v>1.3008627290504997</v>
      </c>
      <c r="V237" s="185"/>
      <c r="W237" s="185"/>
      <c r="X237" s="185"/>
    </row>
    <row r="238" spans="1:24" s="117" customFormat="1" ht="12.75" customHeight="1">
      <c r="A238" s="118"/>
      <c r="B238" s="119"/>
      <c r="C238" s="549"/>
      <c r="D238" s="120"/>
      <c r="E238" s="121"/>
      <c r="F238" s="122"/>
      <c r="G238" s="47">
        <f>G237*$J$13/1000</f>
        <v>0.26051400000000002</v>
      </c>
      <c r="H238" s="62"/>
      <c r="I238" s="63"/>
      <c r="J238" s="47">
        <f>J237*$Q$13/1000</f>
        <v>1.3174049999999999</v>
      </c>
      <c r="K238" s="64"/>
      <c r="L238" s="125"/>
      <c r="M238" s="126"/>
      <c r="N238" s="127"/>
      <c r="O238" s="127"/>
      <c r="P238" s="122"/>
      <c r="Q238" s="128"/>
      <c r="R238" s="121"/>
      <c r="S238" s="534"/>
      <c r="T238" s="129"/>
      <c r="U238" s="55">
        <f t="shared" si="3"/>
        <v>1.3008627290504997</v>
      </c>
      <c r="V238" s="185"/>
      <c r="W238" s="185"/>
      <c r="X238" s="185"/>
    </row>
    <row r="239" spans="1:24" s="117" customFormat="1" ht="12.75" hidden="1" customHeight="1">
      <c r="A239" s="118"/>
      <c r="B239" s="119"/>
      <c r="C239" s="549"/>
      <c r="D239" s="120"/>
      <c r="E239" s="121"/>
      <c r="F239" s="122"/>
      <c r="G239" s="130"/>
      <c r="H239" s="122"/>
      <c r="I239" s="123"/>
      <c r="J239" s="130"/>
      <c r="K239" s="124"/>
      <c r="L239" s="125"/>
      <c r="M239" s="126"/>
      <c r="N239" s="127"/>
      <c r="O239" s="127"/>
      <c r="P239" s="122"/>
      <c r="Q239" s="128"/>
      <c r="R239" s="121"/>
      <c r="S239" s="121"/>
      <c r="T239" s="129"/>
      <c r="U239" s="55">
        <f t="shared" si="3"/>
        <v>1.3008627290504997</v>
      </c>
      <c r="V239" s="185"/>
      <c r="W239" s="185"/>
      <c r="X239" s="185"/>
    </row>
    <row r="240" spans="1:24" s="117" customFormat="1" ht="12.75" customHeight="1">
      <c r="A240" s="131"/>
      <c r="B240" s="132"/>
      <c r="C240" s="133"/>
      <c r="D240" s="134"/>
      <c r="E240" s="135"/>
      <c r="F240" s="136"/>
      <c r="G240" s="137"/>
      <c r="H240" s="136"/>
      <c r="I240" s="138"/>
      <c r="J240" s="137"/>
      <c r="K240" s="139"/>
      <c r="L240" s="140"/>
      <c r="M240" s="141"/>
      <c r="N240" s="142"/>
      <c r="O240" s="142"/>
      <c r="P240" s="136"/>
      <c r="Q240" s="143"/>
      <c r="R240" s="135"/>
      <c r="S240" s="135"/>
      <c r="T240" s="144"/>
      <c r="U240" s="55">
        <f t="shared" si="3"/>
        <v>1.3008627290504997</v>
      </c>
      <c r="V240" s="185"/>
      <c r="W240" s="185"/>
      <c r="X240" s="185"/>
    </row>
    <row r="241" spans="1:24" ht="12.75" customHeight="1">
      <c r="A241" s="320">
        <f>A237+1</f>
        <v>5</v>
      </c>
      <c r="B241" s="343" t="s">
        <v>98</v>
      </c>
      <c r="C241" s="542" t="s">
        <v>93</v>
      </c>
      <c r="D241" s="344" t="s">
        <v>33</v>
      </c>
      <c r="E241" s="345">
        <f>(4.3+14.6+5)/1000*9</f>
        <v>0.21509999999999999</v>
      </c>
      <c r="F241" s="346"/>
      <c r="G241" s="347">
        <v>25.5</v>
      </c>
      <c r="H241" s="346"/>
      <c r="I241" s="63"/>
      <c r="J241" s="71">
        <v>17.100000000000001</v>
      </c>
      <c r="K241" s="64"/>
      <c r="O241" s="99"/>
      <c r="Q241" s="100"/>
      <c r="R241" s="80">
        <f>G242+J242</f>
        <v>89.342631000000011</v>
      </c>
      <c r="S241" s="534"/>
      <c r="T241" s="544"/>
      <c r="U241" s="55">
        <f t="shared" si="3"/>
        <v>1.3008627290504997</v>
      </c>
    </row>
    <row r="242" spans="1:24" ht="12.75" customHeight="1">
      <c r="A242" s="58"/>
      <c r="B242" s="343"/>
      <c r="C242" s="542"/>
      <c r="D242" s="344"/>
      <c r="E242" s="61"/>
      <c r="F242" s="346"/>
      <c r="G242" s="47">
        <f>G241*$J$13/1000</f>
        <v>44.287379999999999</v>
      </c>
      <c r="H242" s="346"/>
      <c r="I242" s="63"/>
      <c r="J242" s="47">
        <f>J241*$Q$13/1000</f>
        <v>45.055251000000005</v>
      </c>
      <c r="K242" s="64"/>
      <c r="L242" s="577" t="s">
        <v>50</v>
      </c>
      <c r="M242" s="65" t="s">
        <v>39</v>
      </c>
      <c r="N242" s="66">
        <v>1.04</v>
      </c>
      <c r="O242" s="67">
        <f>E241*N242</f>
        <v>0.22370399999999999</v>
      </c>
      <c r="P242" s="68">
        <v>0.95599999999999996</v>
      </c>
      <c r="Q242" s="69">
        <f>N242*P242*$N$11</f>
        <v>1.1347904393280002</v>
      </c>
      <c r="R242" s="533">
        <f>SUM(Q242:Q243)</f>
        <v>1.1347904393280002</v>
      </c>
      <c r="S242" s="534"/>
      <c r="T242" s="544"/>
      <c r="U242" s="55">
        <f t="shared" si="3"/>
        <v>1.3008627290504997</v>
      </c>
    </row>
    <row r="243" spans="1:24" ht="12.75" hidden="1" customHeight="1">
      <c r="A243" s="58"/>
      <c r="B243" s="57"/>
      <c r="C243" s="542"/>
      <c r="D243" s="344"/>
      <c r="E243" s="61"/>
      <c r="F243" s="346"/>
      <c r="G243" s="347"/>
      <c r="H243" s="346"/>
      <c r="I243" s="63"/>
      <c r="K243" s="64"/>
      <c r="L243" s="581"/>
      <c r="M243" s="72"/>
      <c r="N243" s="73"/>
      <c r="O243" s="73"/>
      <c r="P243" s="74"/>
      <c r="Q243" s="75"/>
      <c r="R243" s="534"/>
      <c r="S243" s="534"/>
      <c r="T243" s="544"/>
      <c r="U243" s="55">
        <f t="shared" si="3"/>
        <v>1.3008627290504997</v>
      </c>
    </row>
    <row r="244" spans="1:24" ht="12.75" customHeight="1">
      <c r="A244" s="76"/>
      <c r="B244" s="77"/>
      <c r="C244" s="78"/>
      <c r="D244" s="79"/>
      <c r="E244" s="80"/>
      <c r="F244" s="81"/>
      <c r="G244" s="82"/>
      <c r="H244" s="81"/>
      <c r="I244" s="83"/>
      <c r="J244" s="82"/>
      <c r="K244" s="84"/>
      <c r="O244" s="99"/>
      <c r="Q244" s="100"/>
      <c r="R244" s="61"/>
      <c r="S244" s="61"/>
      <c r="T244" s="101"/>
      <c r="U244" s="55">
        <f t="shared" si="3"/>
        <v>1.3008627290504997</v>
      </c>
    </row>
    <row r="245" spans="1:24" ht="12.75" customHeight="1">
      <c r="A245" s="320">
        <f>A241+1</f>
        <v>6</v>
      </c>
      <c r="B245" s="343" t="s">
        <v>44</v>
      </c>
      <c r="C245" s="541" t="s">
        <v>94</v>
      </c>
      <c r="D245" s="344" t="s">
        <v>26</v>
      </c>
      <c r="E245" s="61">
        <f>2*9</f>
        <v>18</v>
      </c>
      <c r="F245" s="346"/>
      <c r="G245" s="347">
        <v>0</v>
      </c>
      <c r="H245" s="346"/>
      <c r="I245" s="63"/>
      <c r="J245" s="71">
        <v>0</v>
      </c>
      <c r="K245" s="64"/>
      <c r="L245" s="50"/>
      <c r="M245" s="51"/>
      <c r="N245" s="52"/>
      <c r="O245" s="52"/>
      <c r="P245" s="46"/>
      <c r="Q245" s="53"/>
      <c r="R245" s="54">
        <f>G246+J246</f>
        <v>0</v>
      </c>
      <c r="S245" s="533"/>
      <c r="T245" s="543"/>
      <c r="U245" s="55">
        <f t="shared" si="3"/>
        <v>1.3008627290504997</v>
      </c>
    </row>
    <row r="246" spans="1:24" ht="12.75" customHeight="1">
      <c r="A246" s="58"/>
      <c r="B246" s="57"/>
      <c r="C246" s="542"/>
      <c r="D246" s="344"/>
      <c r="E246" s="61"/>
      <c r="F246" s="346"/>
      <c r="G246" s="47">
        <f>G245*$J$13/1000</f>
        <v>0</v>
      </c>
      <c r="H246" s="346"/>
      <c r="I246" s="63"/>
      <c r="J246" s="47">
        <f>J245*$Q$13/1000</f>
        <v>0</v>
      </c>
      <c r="K246" s="64"/>
      <c r="L246" s="577" t="s">
        <v>277</v>
      </c>
      <c r="M246" s="65" t="s">
        <v>26</v>
      </c>
      <c r="N246" s="66">
        <v>1</v>
      </c>
      <c r="O246" s="67">
        <f>E245*N246</f>
        <v>18</v>
      </c>
      <c r="P246" s="68">
        <v>0.78300000000000003</v>
      </c>
      <c r="Q246" s="69">
        <f>N246*P246*$N$11</f>
        <v>0.8936885601000002</v>
      </c>
      <c r="R246" s="61">
        <f>SUM(Q246:Q246)</f>
        <v>0.8936885601000002</v>
      </c>
      <c r="S246" s="534"/>
      <c r="T246" s="544"/>
      <c r="U246" s="55">
        <f t="shared" si="3"/>
        <v>1.3008627290504997</v>
      </c>
    </row>
    <row r="247" spans="1:24" ht="12.75" hidden="1" customHeight="1">
      <c r="A247" s="58"/>
      <c r="B247" s="57"/>
      <c r="C247" s="542"/>
      <c r="D247" s="344"/>
      <c r="E247" s="61"/>
      <c r="F247" s="346"/>
      <c r="G247" s="347"/>
      <c r="H247" s="346"/>
      <c r="I247" s="63"/>
      <c r="K247" s="64"/>
      <c r="L247" s="578"/>
      <c r="M247" s="177"/>
      <c r="N247" s="321"/>
      <c r="O247" s="321"/>
      <c r="P247" s="322"/>
      <c r="Q247" s="180"/>
      <c r="R247" s="61"/>
      <c r="S247" s="61"/>
      <c r="T247" s="101"/>
      <c r="U247" s="55">
        <f t="shared" si="3"/>
        <v>1.3008627290504997</v>
      </c>
    </row>
    <row r="248" spans="1:24" ht="12.75" customHeight="1">
      <c r="A248" s="76"/>
      <c r="B248" s="77"/>
      <c r="C248" s="78"/>
      <c r="D248" s="79"/>
      <c r="E248" s="80"/>
      <c r="F248" s="81"/>
      <c r="G248" s="82"/>
      <c r="H248" s="81"/>
      <c r="I248" s="83"/>
      <c r="J248" s="82"/>
      <c r="K248" s="84"/>
      <c r="O248" s="99"/>
      <c r="Q248" s="100"/>
      <c r="R248" s="61"/>
      <c r="S248" s="61"/>
      <c r="T248" s="101"/>
      <c r="U248" s="55">
        <f t="shared" si="3"/>
        <v>1.3008627290504997</v>
      </c>
    </row>
    <row r="249" spans="1:24" s="117" customFormat="1" ht="12.75" customHeight="1">
      <c r="A249" s="186">
        <f>A245+1</f>
        <v>7</v>
      </c>
      <c r="B249" s="343" t="s">
        <v>44</v>
      </c>
      <c r="C249" s="548" t="s">
        <v>96</v>
      </c>
      <c r="D249" s="344" t="s">
        <v>33</v>
      </c>
      <c r="E249" s="348">
        <f>14.6*9/1000</f>
        <v>0.13140000000000002</v>
      </c>
      <c r="F249" s="122"/>
      <c r="G249" s="130"/>
      <c r="H249" s="122"/>
      <c r="I249" s="123"/>
      <c r="J249" s="130"/>
      <c r="K249" s="124"/>
      <c r="L249" s="298"/>
      <c r="M249" s="299"/>
      <c r="N249" s="300"/>
      <c r="O249" s="301"/>
      <c r="P249" s="106"/>
      <c r="Q249" s="349"/>
      <c r="R249" s="115">
        <f>G250+J250</f>
        <v>0</v>
      </c>
      <c r="S249" s="550"/>
      <c r="T249" s="552"/>
      <c r="U249" s="55">
        <f t="shared" si="3"/>
        <v>1.3008627290504997</v>
      </c>
      <c r="V249" s="185"/>
      <c r="W249" s="185"/>
      <c r="X249" s="185"/>
    </row>
    <row r="250" spans="1:24" s="117" customFormat="1" ht="12.75" customHeight="1">
      <c r="A250" s="118"/>
      <c r="B250" s="302"/>
      <c r="C250" s="549"/>
      <c r="D250" s="120"/>
      <c r="E250" s="121"/>
      <c r="F250" s="122"/>
      <c r="G250" s="47"/>
      <c r="H250" s="62"/>
      <c r="I250" s="63"/>
      <c r="J250" s="47"/>
      <c r="K250" s="124"/>
      <c r="L250" s="579" t="s">
        <v>67</v>
      </c>
      <c r="M250" s="308" t="s">
        <v>33</v>
      </c>
      <c r="N250" s="309">
        <v>1</v>
      </c>
      <c r="O250" s="309">
        <f>E249*N250</f>
        <v>0.13140000000000002</v>
      </c>
      <c r="P250" s="306">
        <v>420</v>
      </c>
      <c r="Q250" s="69">
        <f>N250*P250*$N$11</f>
        <v>479.37317400000012</v>
      </c>
      <c r="R250" s="550">
        <f>SUM(Q250:Q251)</f>
        <v>479.37317400000012</v>
      </c>
      <c r="S250" s="551"/>
      <c r="T250" s="553"/>
      <c r="U250" s="55">
        <f t="shared" si="3"/>
        <v>1.3008627290504997</v>
      </c>
      <c r="V250" s="185"/>
      <c r="W250" s="185"/>
      <c r="X250" s="185"/>
    </row>
    <row r="251" spans="1:24" s="117" customFormat="1" ht="12.75" hidden="1" customHeight="1">
      <c r="A251" s="118"/>
      <c r="B251" s="119"/>
      <c r="C251" s="549"/>
      <c r="D251" s="120"/>
      <c r="E251" s="121"/>
      <c r="F251" s="122"/>
      <c r="G251" s="130"/>
      <c r="H251" s="122"/>
      <c r="I251" s="123"/>
      <c r="J251" s="130"/>
      <c r="K251" s="124"/>
      <c r="L251" s="580"/>
      <c r="M251" s="350"/>
      <c r="N251" s="351"/>
      <c r="O251" s="352"/>
      <c r="P251" s="353"/>
      <c r="Q251" s="354"/>
      <c r="R251" s="551"/>
      <c r="S251" s="551"/>
      <c r="T251" s="553"/>
      <c r="U251" s="55">
        <f t="shared" si="3"/>
        <v>1.3008627290504997</v>
      </c>
      <c r="V251" s="185"/>
      <c r="W251" s="185"/>
      <c r="X251" s="185"/>
    </row>
    <row r="252" spans="1:24" s="117" customFormat="1" ht="7.5" customHeight="1">
      <c r="A252" s="131"/>
      <c r="B252" s="132"/>
      <c r="C252" s="133"/>
      <c r="D252" s="134"/>
      <c r="E252" s="135"/>
      <c r="F252" s="136"/>
      <c r="G252" s="137"/>
      <c r="H252" s="136"/>
      <c r="I252" s="138"/>
      <c r="J252" s="137"/>
      <c r="K252" s="139"/>
      <c r="L252" s="125"/>
      <c r="M252" s="126"/>
      <c r="N252" s="127"/>
      <c r="O252" s="355"/>
      <c r="P252" s="122"/>
      <c r="Q252" s="128"/>
      <c r="R252" s="121"/>
      <c r="S252" s="121"/>
      <c r="T252" s="129"/>
      <c r="U252" s="55">
        <f t="shared" si="3"/>
        <v>1.3008627290504997</v>
      </c>
      <c r="V252" s="185"/>
      <c r="W252" s="185"/>
      <c r="X252" s="185"/>
    </row>
    <row r="253" spans="1:24" ht="12.75" customHeight="1">
      <c r="A253" s="320">
        <f>A249+1</f>
        <v>8</v>
      </c>
      <c r="B253" s="343" t="s">
        <v>44</v>
      </c>
      <c r="C253" s="541" t="s">
        <v>287</v>
      </c>
      <c r="D253" s="344" t="s">
        <v>26</v>
      </c>
      <c r="E253" s="61">
        <f>0.5*9</f>
        <v>4.5</v>
      </c>
      <c r="F253" s="346"/>
      <c r="G253" s="347">
        <v>0</v>
      </c>
      <c r="H253" s="346"/>
      <c r="I253" s="63"/>
      <c r="J253" s="71">
        <v>0</v>
      </c>
      <c r="K253" s="64"/>
      <c r="L253" s="50"/>
      <c r="M253" s="51"/>
      <c r="N253" s="52"/>
      <c r="O253" s="52"/>
      <c r="P253" s="46"/>
      <c r="Q253" s="53"/>
      <c r="R253" s="54">
        <f>G254+J254</f>
        <v>0</v>
      </c>
      <c r="S253" s="533"/>
      <c r="T253" s="543"/>
      <c r="U253" s="55">
        <f t="shared" si="3"/>
        <v>1.3008627290504997</v>
      </c>
    </row>
    <row r="254" spans="1:24" ht="12.75" customHeight="1">
      <c r="A254" s="58"/>
      <c r="B254" s="57"/>
      <c r="C254" s="542"/>
      <c r="D254" s="344"/>
      <c r="E254" s="61"/>
      <c r="F254" s="346"/>
      <c r="G254" s="47">
        <f>G253*$J$13/1000</f>
        <v>0</v>
      </c>
      <c r="H254" s="346"/>
      <c r="I254" s="63"/>
      <c r="J254" s="47">
        <f>J253*$Q$13/1000</f>
        <v>0</v>
      </c>
      <c r="K254" s="64"/>
      <c r="L254" s="577" t="s">
        <v>95</v>
      </c>
      <c r="M254" s="65" t="s">
        <v>26</v>
      </c>
      <c r="N254" s="66">
        <v>1</v>
      </c>
      <c r="O254" s="67">
        <f>E253*N254</f>
        <v>4.5</v>
      </c>
      <c r="P254" s="68">
        <v>3.343</v>
      </c>
      <c r="Q254" s="69">
        <f>N254*P254*$N$11</f>
        <v>3.8155821921000008</v>
      </c>
      <c r="R254" s="61">
        <f>SUM(Q254:Q254)</f>
        <v>3.8155821921000008</v>
      </c>
      <c r="S254" s="534"/>
      <c r="T254" s="544"/>
      <c r="U254" s="55">
        <f t="shared" si="3"/>
        <v>1.3008627290504997</v>
      </c>
    </row>
    <row r="255" spans="1:24" ht="12.75" hidden="1" customHeight="1">
      <c r="A255" s="58"/>
      <c r="B255" s="57"/>
      <c r="C255" s="542"/>
      <c r="D255" s="344"/>
      <c r="E255" s="61"/>
      <c r="F255" s="346"/>
      <c r="G255" s="347"/>
      <c r="H255" s="346"/>
      <c r="I255" s="63"/>
      <c r="K255" s="64"/>
      <c r="L255" s="578"/>
      <c r="M255" s="177"/>
      <c r="N255" s="321"/>
      <c r="O255" s="321"/>
      <c r="P255" s="322"/>
      <c r="Q255" s="180"/>
      <c r="R255" s="61"/>
      <c r="S255" s="61"/>
      <c r="T255" s="101"/>
      <c r="U255" s="55">
        <f t="shared" si="3"/>
        <v>1.3008627290504997</v>
      </c>
    </row>
    <row r="256" spans="1:24" ht="12.75" customHeight="1">
      <c r="A256" s="76"/>
      <c r="B256" s="77"/>
      <c r="C256" s="78"/>
      <c r="D256" s="79"/>
      <c r="E256" s="80"/>
      <c r="F256" s="81"/>
      <c r="G256" s="82"/>
      <c r="H256" s="81"/>
      <c r="I256" s="83"/>
      <c r="J256" s="82"/>
      <c r="K256" s="84"/>
      <c r="O256" s="99"/>
      <c r="Q256" s="100"/>
      <c r="R256" s="61"/>
      <c r="S256" s="61"/>
      <c r="T256" s="101"/>
      <c r="U256" s="55">
        <f t="shared" si="3"/>
        <v>1.3008627290504997</v>
      </c>
    </row>
    <row r="257" spans="1:21" ht="12.75" customHeight="1">
      <c r="A257" s="42">
        <f>A253+1</f>
        <v>9</v>
      </c>
      <c r="B257" s="59" t="s">
        <v>55</v>
      </c>
      <c r="C257" s="541" t="s">
        <v>66</v>
      </c>
      <c r="D257" s="60" t="s">
        <v>42</v>
      </c>
      <c r="E257" s="61">
        <f>0.8*9/100</f>
        <v>7.2000000000000008E-2</v>
      </c>
      <c r="G257" s="71">
        <v>38.4</v>
      </c>
      <c r="I257" s="63"/>
      <c r="J257" s="71">
        <v>0.03</v>
      </c>
      <c r="K257" s="64"/>
      <c r="L257" s="50"/>
      <c r="M257" s="51"/>
      <c r="N257" s="52"/>
      <c r="O257" s="52"/>
      <c r="P257" s="46"/>
      <c r="Q257" s="53"/>
      <c r="R257" s="54">
        <f>G258+J258</f>
        <v>66.770628300000013</v>
      </c>
      <c r="S257" s="533"/>
      <c r="T257" s="543"/>
      <c r="U257" s="55">
        <f t="shared" si="3"/>
        <v>1.3008627290504997</v>
      </c>
    </row>
    <row r="258" spans="1:21" ht="12" customHeight="1">
      <c r="A258" s="58"/>
      <c r="B258" s="59" t="s">
        <v>56</v>
      </c>
      <c r="C258" s="542"/>
      <c r="E258" s="61"/>
      <c r="G258" s="47">
        <f>G257*$J$13/1000</f>
        <v>66.691584000000006</v>
      </c>
      <c r="I258" s="63"/>
      <c r="J258" s="47">
        <f>J257*$Q$13/1000</f>
        <v>7.9044299999999998E-2</v>
      </c>
      <c r="K258" s="64"/>
      <c r="L258" s="323" t="s">
        <v>43</v>
      </c>
      <c r="M258" s="324" t="s">
        <v>39</v>
      </c>
      <c r="N258" s="325">
        <v>27.3</v>
      </c>
      <c r="O258" s="326">
        <f>E257*N258</f>
        <v>1.9656000000000002</v>
      </c>
      <c r="P258" s="327">
        <v>1.02</v>
      </c>
      <c r="Q258" s="69">
        <f>N258*P258*$N$11</f>
        <v>31.782441436200006</v>
      </c>
      <c r="R258" s="61">
        <f>SUM(Q258:Q258)</f>
        <v>31.782441436200006</v>
      </c>
      <c r="S258" s="534"/>
      <c r="T258" s="544"/>
      <c r="U258" s="55">
        <f t="shared" si="3"/>
        <v>1.3008627290504997</v>
      </c>
    </row>
    <row r="259" spans="1:21" ht="12.75" hidden="1" customHeight="1">
      <c r="A259" s="58"/>
      <c r="C259" s="542"/>
      <c r="E259" s="61"/>
      <c r="I259" s="63"/>
      <c r="K259" s="64"/>
      <c r="O259" s="99"/>
      <c r="Q259" s="100"/>
      <c r="R259" s="61"/>
      <c r="S259" s="61"/>
      <c r="T259" s="101"/>
      <c r="U259" s="55">
        <f t="shared" si="3"/>
        <v>1.3008627290504997</v>
      </c>
    </row>
    <row r="260" spans="1:21" ht="12.75" hidden="1" customHeight="1">
      <c r="A260" s="58"/>
      <c r="C260" s="542"/>
      <c r="E260" s="61"/>
      <c r="I260" s="63"/>
      <c r="K260" s="64"/>
      <c r="O260" s="99"/>
      <c r="Q260" s="100"/>
      <c r="R260" s="61"/>
      <c r="S260" s="61"/>
      <c r="T260" s="101"/>
      <c r="U260" s="55">
        <f t="shared" si="3"/>
        <v>1.3008627290504997</v>
      </c>
    </row>
    <row r="261" spans="1:21" ht="12.75" customHeight="1">
      <c r="A261" s="76"/>
      <c r="B261" s="77"/>
      <c r="C261" s="78"/>
      <c r="D261" s="79"/>
      <c r="E261" s="80"/>
      <c r="F261" s="81"/>
      <c r="G261" s="82"/>
      <c r="H261" s="81"/>
      <c r="I261" s="83"/>
      <c r="J261" s="82"/>
      <c r="K261" s="84"/>
      <c r="L261" s="85"/>
      <c r="M261" s="86"/>
      <c r="N261" s="87"/>
      <c r="O261" s="87"/>
      <c r="P261" s="81"/>
      <c r="Q261" s="88"/>
      <c r="R261" s="80"/>
      <c r="S261" s="80"/>
      <c r="T261" s="89"/>
      <c r="U261" s="55">
        <f t="shared" si="3"/>
        <v>1.3008627290504997</v>
      </c>
    </row>
    <row r="262" spans="1:21" s="117" customFormat="1" ht="12.75" customHeight="1">
      <c r="A262" s="145"/>
      <c r="B262" s="146"/>
      <c r="C262" s="147" t="s">
        <v>25</v>
      </c>
      <c r="D262" s="148"/>
      <c r="E262" s="149"/>
      <c r="F262" s="150"/>
      <c r="G262" s="151"/>
      <c r="H262" s="150"/>
      <c r="I262" s="152"/>
      <c r="J262" s="151"/>
      <c r="K262" s="153"/>
      <c r="L262" s="154"/>
      <c r="M262" s="155"/>
      <c r="N262" s="156"/>
      <c r="O262" s="157"/>
      <c r="P262" s="150"/>
      <c r="Q262" s="151"/>
      <c r="R262" s="157"/>
      <c r="S262" s="157"/>
      <c r="T262" s="158">
        <f>SUM(T224:T261)</f>
        <v>0</v>
      </c>
      <c r="U262" s="55">
        <f t="shared" si="3"/>
        <v>1.3008627290504997</v>
      </c>
    </row>
    <row r="263" spans="1:21" s="219" customFormat="1" ht="18" customHeight="1">
      <c r="A263" s="574" t="s">
        <v>248</v>
      </c>
      <c r="B263" s="575"/>
      <c r="C263" s="576"/>
      <c r="D263" s="356"/>
      <c r="E263" s="217"/>
      <c r="F263" s="215"/>
      <c r="G263" s="357"/>
      <c r="H263" s="215"/>
      <c r="I263" s="358"/>
      <c r="J263" s="357"/>
      <c r="K263" s="359"/>
      <c r="L263" s="212"/>
      <c r="M263" s="213"/>
      <c r="N263" s="214"/>
      <c r="O263" s="214"/>
      <c r="P263" s="215"/>
      <c r="Q263" s="216"/>
      <c r="R263" s="217"/>
      <c r="S263" s="217"/>
      <c r="T263" s="648">
        <v>4.2500000000000003E-2</v>
      </c>
      <c r="U263" s="55">
        <f t="shared" si="3"/>
        <v>1.3008627290504997</v>
      </c>
    </row>
    <row r="264" spans="1:21" s="219" customFormat="1" ht="12.75" customHeight="1">
      <c r="A264" s="203">
        <v>1</v>
      </c>
      <c r="B264" s="242" t="s">
        <v>51</v>
      </c>
      <c r="C264" s="523" t="s">
        <v>108</v>
      </c>
      <c r="D264" s="243" t="s">
        <v>31</v>
      </c>
      <c r="E264" s="244">
        <f>0.13*16/100</f>
        <v>2.0799999999999999E-2</v>
      </c>
      <c r="F264" s="245"/>
      <c r="G264" s="210">
        <v>110</v>
      </c>
      <c r="H264" s="245"/>
      <c r="I264" s="209"/>
      <c r="J264" s="210">
        <v>0</v>
      </c>
      <c r="K264" s="211"/>
      <c r="L264" s="212"/>
      <c r="M264" s="213"/>
      <c r="N264" s="247"/>
      <c r="O264" s="247"/>
      <c r="P264" s="215"/>
      <c r="Q264" s="216"/>
      <c r="R264" s="217">
        <f>G265+J265</f>
        <v>191.0436</v>
      </c>
      <c r="S264" s="533"/>
      <c r="T264" s="218"/>
      <c r="U264" s="55">
        <f t="shared" si="3"/>
        <v>1.3008627290504997</v>
      </c>
    </row>
    <row r="265" spans="1:21" s="219" customFormat="1" ht="12" customHeight="1">
      <c r="A265" s="220"/>
      <c r="B265" s="249" t="s">
        <v>52</v>
      </c>
      <c r="C265" s="524"/>
      <c r="D265" s="250"/>
      <c r="E265" s="221"/>
      <c r="F265" s="241"/>
      <c r="G265" s="210">
        <f>G264*$J$13/1000</f>
        <v>191.0436</v>
      </c>
      <c r="H265" s="241"/>
      <c r="I265" s="222"/>
      <c r="J265" s="210">
        <f>J264*$Q$7/1000</f>
        <v>0</v>
      </c>
      <c r="K265" s="223"/>
      <c r="L265" s="238"/>
      <c r="M265" s="239"/>
      <c r="N265" s="336"/>
      <c r="O265" s="336"/>
      <c r="P265" s="241"/>
      <c r="Q265" s="227"/>
      <c r="R265" s="221"/>
      <c r="S265" s="534"/>
      <c r="T265" s="228"/>
      <c r="U265" s="55">
        <f t="shared" si="3"/>
        <v>1.3008627290504997</v>
      </c>
    </row>
    <row r="266" spans="1:21" s="219" customFormat="1" ht="12.75" hidden="1" customHeight="1">
      <c r="A266" s="220"/>
      <c r="B266" s="274"/>
      <c r="C266" s="524"/>
      <c r="D266" s="250"/>
      <c r="E266" s="221"/>
      <c r="F266" s="241"/>
      <c r="G266" s="275"/>
      <c r="H266" s="241"/>
      <c r="I266" s="222"/>
      <c r="J266" s="275"/>
      <c r="K266" s="223"/>
      <c r="L266" s="238"/>
      <c r="M266" s="239"/>
      <c r="N266" s="336"/>
      <c r="O266" s="336"/>
      <c r="P266" s="241"/>
      <c r="Q266" s="227"/>
      <c r="R266" s="221"/>
      <c r="S266" s="221"/>
      <c r="T266" s="228"/>
      <c r="U266" s="55">
        <f t="shared" si="3"/>
        <v>1.3008627290504997</v>
      </c>
    </row>
    <row r="267" spans="1:21" s="219" customFormat="1" ht="16.5" customHeight="1">
      <c r="A267" s="229"/>
      <c r="B267" s="230"/>
      <c r="C267" s="231"/>
      <c r="D267" s="232"/>
      <c r="E267" s="233"/>
      <c r="F267" s="234"/>
      <c r="G267" s="235"/>
      <c r="H267" s="234"/>
      <c r="I267" s="236"/>
      <c r="J267" s="235"/>
      <c r="K267" s="237"/>
      <c r="L267" s="256"/>
      <c r="M267" s="257"/>
      <c r="N267" s="258"/>
      <c r="O267" s="258"/>
      <c r="P267" s="234"/>
      <c r="Q267" s="260"/>
      <c r="R267" s="233"/>
      <c r="S267" s="233"/>
      <c r="T267" s="261"/>
      <c r="U267" s="55">
        <f t="shared" si="3"/>
        <v>1.3008627290504997</v>
      </c>
    </row>
    <row r="268" spans="1:21" ht="12.75" customHeight="1">
      <c r="A268" s="320">
        <f>A264+1</f>
        <v>2</v>
      </c>
      <c r="B268" s="59" t="s">
        <v>34</v>
      </c>
      <c r="C268" s="542" t="s">
        <v>119</v>
      </c>
      <c r="D268" s="60" t="s">
        <v>35</v>
      </c>
      <c r="E268" s="61">
        <f>0.042*16</f>
        <v>0.67200000000000004</v>
      </c>
      <c r="G268" s="71">
        <v>1.82</v>
      </c>
      <c r="I268" s="63"/>
      <c r="J268" s="71">
        <v>1.06</v>
      </c>
      <c r="K268" s="64"/>
      <c r="L268" s="337"/>
      <c r="M268" s="86"/>
      <c r="N268" s="171"/>
      <c r="O268" s="172"/>
      <c r="P268" s="81"/>
      <c r="Q268" s="88"/>
      <c r="R268" s="80">
        <f>G269+J269</f>
        <v>5.9538018000000008</v>
      </c>
      <c r="S268" s="533"/>
      <c r="T268" s="544"/>
      <c r="U268" s="55">
        <f t="shared" si="3"/>
        <v>1.3008627290504997</v>
      </c>
    </row>
    <row r="269" spans="1:21" ht="12.75" customHeight="1">
      <c r="A269" s="58"/>
      <c r="B269" s="59" t="s">
        <v>41</v>
      </c>
      <c r="C269" s="542"/>
      <c r="E269" s="61"/>
      <c r="G269" s="47">
        <f>G268*$J$13/1000</f>
        <v>3.1609032000000004</v>
      </c>
      <c r="I269" s="63"/>
      <c r="J269" s="47">
        <f>J268*$Q$13/1000</f>
        <v>2.7928986</v>
      </c>
      <c r="K269" s="64"/>
      <c r="L269" s="176" t="s">
        <v>48</v>
      </c>
      <c r="M269" s="177" t="s">
        <v>35</v>
      </c>
      <c r="N269" s="178">
        <f>0.97+0.27</f>
        <v>1.24</v>
      </c>
      <c r="O269" s="178">
        <f>E268*N269</f>
        <v>0.83328000000000002</v>
      </c>
      <c r="P269" s="179">
        <v>4</v>
      </c>
      <c r="Q269" s="180">
        <f>N269*P269*$N$11</f>
        <v>5.6611689120000008</v>
      </c>
      <c r="R269" s="61">
        <f>SUM(Q269:Q269)</f>
        <v>5.6611689120000008</v>
      </c>
      <c r="S269" s="534"/>
      <c r="T269" s="544"/>
      <c r="U269" s="55">
        <f t="shared" si="3"/>
        <v>1.3008627290504997</v>
      </c>
    </row>
    <row r="270" spans="1:21" ht="12.75" customHeight="1">
      <c r="A270" s="76"/>
      <c r="B270" s="77"/>
      <c r="C270" s="78"/>
      <c r="D270" s="79"/>
      <c r="E270" s="80"/>
      <c r="F270" s="81"/>
      <c r="G270" s="82"/>
      <c r="H270" s="81"/>
      <c r="I270" s="83"/>
      <c r="J270" s="82"/>
      <c r="K270" s="84"/>
      <c r="L270" s="85"/>
      <c r="M270" s="86"/>
      <c r="N270" s="171"/>
      <c r="O270" s="172"/>
      <c r="P270" s="81"/>
      <c r="Q270" s="88"/>
      <c r="R270" s="80"/>
      <c r="S270" s="80"/>
      <c r="T270" s="89"/>
      <c r="U270" s="55">
        <f t="shared" si="3"/>
        <v>1.3008627290504997</v>
      </c>
    </row>
    <row r="271" spans="1:21" s="219" customFormat="1" ht="12.75" customHeight="1">
      <c r="A271" s="203">
        <f>A268+1</f>
        <v>3</v>
      </c>
      <c r="B271" s="242" t="s">
        <v>53</v>
      </c>
      <c r="C271" s="523" t="s">
        <v>109</v>
      </c>
      <c r="D271" s="243" t="s">
        <v>35</v>
      </c>
      <c r="E271" s="263">
        <f>0.16*16</f>
        <v>2.56</v>
      </c>
      <c r="F271" s="245"/>
      <c r="G271" s="210">
        <v>1.84</v>
      </c>
      <c r="H271" s="245"/>
      <c r="I271" s="209"/>
      <c r="J271" s="210">
        <v>0.2</v>
      </c>
      <c r="K271" s="211"/>
      <c r="L271" s="264"/>
      <c r="M271" s="265"/>
      <c r="N271" s="266"/>
      <c r="O271" s="266"/>
      <c r="P271" s="245"/>
      <c r="Q271" s="267"/>
      <c r="R271" s="217">
        <f>G272+J272</f>
        <v>3.7226004000000006</v>
      </c>
      <c r="S271" s="521"/>
      <c r="T271" s="525"/>
      <c r="U271" s="55">
        <f t="shared" si="3"/>
        <v>1.3008627290504997</v>
      </c>
    </row>
    <row r="272" spans="1:21" s="219" customFormat="1" ht="11.25" customHeight="1">
      <c r="A272" s="220"/>
      <c r="B272" s="249" t="s">
        <v>54</v>
      </c>
      <c r="C272" s="524"/>
      <c r="D272" s="250"/>
      <c r="E272" s="221"/>
      <c r="F272" s="241"/>
      <c r="G272" s="210">
        <f>G271*$J$13/1000</f>
        <v>3.1956384000000004</v>
      </c>
      <c r="H272" s="241"/>
      <c r="I272" s="222"/>
      <c r="J272" s="210">
        <f>J271*$Q$13/1000</f>
        <v>0.52696200000000004</v>
      </c>
      <c r="K272" s="223"/>
      <c r="L272" s="268"/>
      <c r="M272" s="269"/>
      <c r="N272" s="270"/>
      <c r="O272" s="271"/>
      <c r="P272" s="272"/>
      <c r="Q272" s="273"/>
      <c r="R272" s="521">
        <f>SUM(Q272:Q275)</f>
        <v>38.104185897153179</v>
      </c>
      <c r="S272" s="522"/>
      <c r="T272" s="526"/>
      <c r="U272" s="55">
        <f t="shared" si="3"/>
        <v>1.3008627290504997</v>
      </c>
    </row>
    <row r="273" spans="1:21" s="219" customFormat="1" ht="12" hidden="1">
      <c r="A273" s="220"/>
      <c r="B273" s="274"/>
      <c r="C273" s="524"/>
      <c r="D273" s="250"/>
      <c r="E273" s="221"/>
      <c r="F273" s="241"/>
      <c r="G273" s="275"/>
      <c r="H273" s="241"/>
      <c r="I273" s="222"/>
      <c r="J273" s="275"/>
      <c r="K273" s="223"/>
      <c r="L273" s="276" t="s">
        <v>275</v>
      </c>
      <c r="M273" s="277" t="s">
        <v>35</v>
      </c>
      <c r="N273" s="278">
        <v>1.0149999999999999</v>
      </c>
      <c r="O273" s="279">
        <f>E271*N273</f>
        <v>2.5983999999999998</v>
      </c>
      <c r="P273" s="280">
        <v>27.016999999999999</v>
      </c>
      <c r="Q273" s="281">
        <f>N273*P273*$N$11</f>
        <v>31.298793851398504</v>
      </c>
      <c r="R273" s="522"/>
      <c r="S273" s="522"/>
      <c r="T273" s="526"/>
      <c r="U273" s="55">
        <f t="shared" si="3"/>
        <v>1.3008627290504997</v>
      </c>
    </row>
    <row r="274" spans="1:21" s="219" customFormat="1" ht="12" hidden="1">
      <c r="A274" s="220"/>
      <c r="B274" s="274"/>
      <c r="C274" s="524"/>
      <c r="D274" s="250"/>
      <c r="E274" s="221"/>
      <c r="F274" s="241"/>
      <c r="G274" s="275"/>
      <c r="H274" s="241"/>
      <c r="I274" s="222"/>
      <c r="J274" s="275"/>
      <c r="K274" s="223"/>
      <c r="L274" s="276" t="s">
        <v>36</v>
      </c>
      <c r="M274" s="277" t="s">
        <v>37</v>
      </c>
      <c r="N274" s="278">
        <v>1.24</v>
      </c>
      <c r="O274" s="279">
        <f>E271*N274</f>
        <v>3.1743999999999999</v>
      </c>
      <c r="P274" s="280">
        <v>3.5</v>
      </c>
      <c r="Q274" s="281">
        <f>N274*P274*$N$11</f>
        <v>4.9535227980000007</v>
      </c>
      <c r="R274" s="522"/>
      <c r="S274" s="522"/>
      <c r="T274" s="526"/>
      <c r="U274" s="55">
        <f t="shared" si="3"/>
        <v>1.3008627290504997</v>
      </c>
    </row>
    <row r="275" spans="1:21" s="219" customFormat="1" ht="12" hidden="1">
      <c r="A275" s="220"/>
      <c r="B275" s="274"/>
      <c r="C275" s="524"/>
      <c r="D275" s="250"/>
      <c r="E275" s="221"/>
      <c r="F275" s="241"/>
      <c r="G275" s="275"/>
      <c r="H275" s="241"/>
      <c r="I275" s="222"/>
      <c r="J275" s="275"/>
      <c r="K275" s="223"/>
      <c r="L275" s="282" t="s">
        <v>38</v>
      </c>
      <c r="M275" s="283" t="s">
        <v>35</v>
      </c>
      <c r="N275" s="360">
        <v>1.32E-2</v>
      </c>
      <c r="O275" s="285">
        <f>E271*N275</f>
        <v>3.3792000000000003E-2</v>
      </c>
      <c r="P275" s="286">
        <v>122.917</v>
      </c>
      <c r="Q275" s="287">
        <f>N275*P275*$N$11</f>
        <v>1.8518692477546803</v>
      </c>
      <c r="R275" s="522"/>
      <c r="S275" s="522"/>
      <c r="T275" s="526"/>
      <c r="U275" s="55">
        <f t="shared" si="3"/>
        <v>1.3008627290504997</v>
      </c>
    </row>
    <row r="276" spans="1:21" s="219" customFormat="1">
      <c r="A276" s="229"/>
      <c r="B276" s="230"/>
      <c r="C276" s="231"/>
      <c r="D276" s="232"/>
      <c r="E276" s="233"/>
      <c r="F276" s="234"/>
      <c r="G276" s="235"/>
      <c r="H276" s="234"/>
      <c r="I276" s="236"/>
      <c r="J276" s="235"/>
      <c r="K276" s="237"/>
      <c r="L276" s="256"/>
      <c r="M276" s="257"/>
      <c r="N276" s="288"/>
      <c r="O276" s="288"/>
      <c r="P276" s="234"/>
      <c r="Q276" s="260"/>
      <c r="R276" s="233"/>
      <c r="S276" s="233"/>
      <c r="T276" s="261"/>
      <c r="U276" s="55">
        <f t="shared" si="3"/>
        <v>1.3008627290504997</v>
      </c>
    </row>
    <row r="277" spans="1:21" s="219" customFormat="1" ht="12.75" customHeight="1">
      <c r="A277" s="262">
        <f>A271+1</f>
        <v>4</v>
      </c>
      <c r="B277" s="204" t="s">
        <v>49</v>
      </c>
      <c r="C277" s="524" t="s">
        <v>58</v>
      </c>
      <c r="D277" s="205" t="s">
        <v>33</v>
      </c>
      <c r="E277" s="296">
        <f>(7.2+28.8+13.6+1.06+4.2+0.87+4.1+1.76)/1000*16</f>
        <v>0.98544000000000009</v>
      </c>
      <c r="F277" s="207"/>
      <c r="G277" s="208">
        <v>34</v>
      </c>
      <c r="H277" s="207"/>
      <c r="I277" s="222"/>
      <c r="J277" s="275">
        <v>1</v>
      </c>
      <c r="K277" s="223"/>
      <c r="L277" s="238"/>
      <c r="M277" s="239"/>
      <c r="N277" s="240"/>
      <c r="O277" s="240"/>
      <c r="P277" s="241"/>
      <c r="Q277" s="227"/>
      <c r="R277" s="233">
        <f>G278+J278</f>
        <v>61.684649999999998</v>
      </c>
      <c r="S277" s="522"/>
      <c r="T277" s="526"/>
      <c r="U277" s="55">
        <f t="shared" si="3"/>
        <v>1.3008627290504997</v>
      </c>
    </row>
    <row r="278" spans="1:21" s="219" customFormat="1" ht="11.25" customHeight="1">
      <c r="A278" s="220"/>
      <c r="B278" s="204"/>
      <c r="C278" s="524"/>
      <c r="D278" s="205"/>
      <c r="E278" s="221"/>
      <c r="F278" s="207"/>
      <c r="G278" s="210">
        <f>G277*$J$13/1000</f>
        <v>59.049839999999996</v>
      </c>
      <c r="H278" s="207"/>
      <c r="I278" s="222"/>
      <c r="J278" s="210">
        <f>J277*$Q$13/1000</f>
        <v>2.6348099999999999</v>
      </c>
      <c r="K278" s="223"/>
      <c r="L278" s="537" t="s">
        <v>50</v>
      </c>
      <c r="M278" s="269" t="s">
        <v>39</v>
      </c>
      <c r="N278" s="270">
        <v>1.04</v>
      </c>
      <c r="O278" s="271">
        <f>E277*N278</f>
        <v>1.0248576</v>
      </c>
      <c r="P278" s="272">
        <v>0.95599999999999996</v>
      </c>
      <c r="Q278" s="273">
        <f>N278*P278*$N$11</f>
        <v>1.1347904393280002</v>
      </c>
      <c r="R278" s="521">
        <f>SUM(Q278:Q279)</f>
        <v>1.1347904393280002</v>
      </c>
      <c r="S278" s="522"/>
      <c r="T278" s="526"/>
      <c r="U278" s="55">
        <f t="shared" ref="U278:U341" si="4">1.133*1.11*1.01*1.009*1.015</f>
        <v>1.3008627290504997</v>
      </c>
    </row>
    <row r="279" spans="1:21" s="219" customFormat="1" ht="12" hidden="1">
      <c r="A279" s="220"/>
      <c r="C279" s="524"/>
      <c r="D279" s="205"/>
      <c r="E279" s="221"/>
      <c r="F279" s="207"/>
      <c r="G279" s="208"/>
      <c r="H279" s="207"/>
      <c r="I279" s="222"/>
      <c r="J279" s="275"/>
      <c r="K279" s="223"/>
      <c r="L279" s="540"/>
      <c r="M279" s="361"/>
      <c r="N279" s="362"/>
      <c r="O279" s="362"/>
      <c r="P279" s="363"/>
      <c r="Q279" s="294"/>
      <c r="R279" s="522"/>
      <c r="S279" s="522"/>
      <c r="T279" s="526"/>
      <c r="U279" s="55">
        <f t="shared" si="4"/>
        <v>1.3008627290504997</v>
      </c>
    </row>
    <row r="280" spans="1:21" s="219" customFormat="1">
      <c r="A280" s="229"/>
      <c r="B280" s="230"/>
      <c r="C280" s="231"/>
      <c r="D280" s="232"/>
      <c r="E280" s="233"/>
      <c r="F280" s="234"/>
      <c r="G280" s="235"/>
      <c r="H280" s="234"/>
      <c r="I280" s="236"/>
      <c r="J280" s="235"/>
      <c r="K280" s="237"/>
      <c r="L280" s="238"/>
      <c r="M280" s="239"/>
      <c r="N280" s="240"/>
      <c r="O280" s="240"/>
      <c r="P280" s="241"/>
      <c r="Q280" s="227"/>
      <c r="R280" s="221"/>
      <c r="S280" s="221"/>
      <c r="T280" s="228"/>
      <c r="U280" s="55">
        <f t="shared" si="4"/>
        <v>1.3008627290504997</v>
      </c>
    </row>
    <row r="281" spans="1:21" s="219" customFormat="1" ht="12" customHeight="1">
      <c r="A281" s="262">
        <f>A277+1</f>
        <v>5</v>
      </c>
      <c r="B281" s="204" t="s">
        <v>44</v>
      </c>
      <c r="C281" s="523" t="s">
        <v>120</v>
      </c>
      <c r="D281" s="205" t="s">
        <v>33</v>
      </c>
      <c r="E281" s="221">
        <f>7.2/1000*16</f>
        <v>0.1152</v>
      </c>
      <c r="F281" s="207"/>
      <c r="G281" s="208">
        <v>0</v>
      </c>
      <c r="H281" s="207"/>
      <c r="I281" s="222"/>
      <c r="J281" s="275">
        <v>0</v>
      </c>
      <c r="K281" s="223"/>
      <c r="L281" s="264"/>
      <c r="M281" s="265"/>
      <c r="N281" s="266"/>
      <c r="O281" s="266"/>
      <c r="P281" s="245"/>
      <c r="Q281" s="267"/>
      <c r="R281" s="217">
        <f>G282+J282</f>
        <v>0</v>
      </c>
      <c r="S281" s="533"/>
      <c r="T281" s="525"/>
      <c r="U281" s="55">
        <f t="shared" si="4"/>
        <v>1.3008627290504997</v>
      </c>
    </row>
    <row r="282" spans="1:21" s="219" customFormat="1" ht="11.25" customHeight="1">
      <c r="A282" s="220"/>
      <c r="C282" s="524"/>
      <c r="D282" s="205"/>
      <c r="E282" s="221"/>
      <c r="F282" s="207"/>
      <c r="G282" s="210">
        <f>G281*$J$13/1000</f>
        <v>0</v>
      </c>
      <c r="H282" s="207"/>
      <c r="I282" s="222"/>
      <c r="J282" s="210">
        <f>J281*$Q$13/1000</f>
        <v>0</v>
      </c>
      <c r="K282" s="223"/>
      <c r="L282" s="537" t="s">
        <v>278</v>
      </c>
      <c r="M282" s="269" t="s">
        <v>33</v>
      </c>
      <c r="N282" s="270">
        <v>1</v>
      </c>
      <c r="O282" s="271">
        <f>E281*N282</f>
        <v>0.1152</v>
      </c>
      <c r="P282" s="272">
        <v>400</v>
      </c>
      <c r="Q282" s="273">
        <f>N282*P282*$N$11</f>
        <v>456.54588000000007</v>
      </c>
      <c r="R282" s="221">
        <f>SUM(Q282:Q282)</f>
        <v>456.54588000000007</v>
      </c>
      <c r="S282" s="534"/>
      <c r="T282" s="526"/>
      <c r="U282" s="55">
        <f t="shared" si="4"/>
        <v>1.3008627290504997</v>
      </c>
    </row>
    <row r="283" spans="1:21" s="219" customFormat="1" ht="12" hidden="1">
      <c r="A283" s="220"/>
      <c r="C283" s="524"/>
      <c r="D283" s="205"/>
      <c r="E283" s="221"/>
      <c r="F283" s="207"/>
      <c r="G283" s="208"/>
      <c r="H283" s="207"/>
      <c r="I283" s="222"/>
      <c r="J283" s="275"/>
      <c r="K283" s="223"/>
      <c r="L283" s="538"/>
      <c r="M283" s="252"/>
      <c r="N283" s="364"/>
      <c r="O283" s="364"/>
      <c r="P283" s="365"/>
      <c r="Q283" s="255"/>
      <c r="R283" s="221"/>
      <c r="S283" s="221"/>
      <c r="T283" s="228"/>
      <c r="U283" s="55">
        <f t="shared" si="4"/>
        <v>1.3008627290504997</v>
      </c>
    </row>
    <row r="284" spans="1:21" s="219" customFormat="1">
      <c r="A284" s="229"/>
      <c r="B284" s="230"/>
      <c r="C284" s="231"/>
      <c r="D284" s="232"/>
      <c r="E284" s="233"/>
      <c r="F284" s="234"/>
      <c r="G284" s="235"/>
      <c r="H284" s="234"/>
      <c r="I284" s="236"/>
      <c r="J284" s="235"/>
      <c r="K284" s="237"/>
      <c r="L284" s="238"/>
      <c r="M284" s="239"/>
      <c r="N284" s="240"/>
      <c r="O284" s="240"/>
      <c r="P284" s="241"/>
      <c r="Q284" s="227"/>
      <c r="R284" s="221"/>
      <c r="S284" s="221"/>
      <c r="T284" s="228"/>
      <c r="U284" s="55">
        <f t="shared" si="4"/>
        <v>1.3008627290504997</v>
      </c>
    </row>
    <row r="285" spans="1:21" s="219" customFormat="1" ht="11.25" customHeight="1">
      <c r="A285" s="262">
        <f>A281+1</f>
        <v>6</v>
      </c>
      <c r="B285" s="204" t="s">
        <v>44</v>
      </c>
      <c r="C285" s="523" t="s">
        <v>110</v>
      </c>
      <c r="D285" s="205" t="s">
        <v>33</v>
      </c>
      <c r="E285" s="221">
        <f>13.2/1000*16</f>
        <v>0.2112</v>
      </c>
      <c r="F285" s="207"/>
      <c r="G285" s="208">
        <v>0</v>
      </c>
      <c r="H285" s="207"/>
      <c r="I285" s="222"/>
      <c r="J285" s="275">
        <v>0</v>
      </c>
      <c r="K285" s="223"/>
      <c r="L285" s="264"/>
      <c r="M285" s="265"/>
      <c r="N285" s="266"/>
      <c r="O285" s="266"/>
      <c r="P285" s="245"/>
      <c r="Q285" s="267"/>
      <c r="R285" s="217">
        <f>G286+J286</f>
        <v>0</v>
      </c>
      <c r="S285" s="533"/>
      <c r="T285" s="525"/>
      <c r="U285" s="55">
        <f t="shared" si="4"/>
        <v>1.3008627290504997</v>
      </c>
    </row>
    <row r="286" spans="1:21" s="219" customFormat="1" ht="11.25" customHeight="1">
      <c r="A286" s="220"/>
      <c r="C286" s="524"/>
      <c r="D286" s="205"/>
      <c r="E286" s="221"/>
      <c r="F286" s="207"/>
      <c r="G286" s="210">
        <f>G285*$J$13/1000</f>
        <v>0</v>
      </c>
      <c r="H286" s="207"/>
      <c r="I286" s="222"/>
      <c r="J286" s="210">
        <f>J285*$Q$13/1000</f>
        <v>0</v>
      </c>
      <c r="K286" s="223"/>
      <c r="L286" s="537" t="s">
        <v>111</v>
      </c>
      <c r="M286" s="269" t="s">
        <v>33</v>
      </c>
      <c r="N286" s="270">
        <v>1</v>
      </c>
      <c r="O286" s="271">
        <f>E285*N286</f>
        <v>0.2112</v>
      </c>
      <c r="P286" s="272">
        <v>400</v>
      </c>
      <c r="Q286" s="273">
        <f>N286*P286*$N$11</f>
        <v>456.54588000000007</v>
      </c>
      <c r="R286" s="221">
        <f>SUM(Q286:Q286)</f>
        <v>456.54588000000007</v>
      </c>
      <c r="S286" s="534"/>
      <c r="T286" s="526"/>
      <c r="U286" s="55">
        <f t="shared" si="4"/>
        <v>1.3008627290504997</v>
      </c>
    </row>
    <row r="287" spans="1:21" s="219" customFormat="1" ht="12" hidden="1">
      <c r="A287" s="220"/>
      <c r="C287" s="524"/>
      <c r="D287" s="205"/>
      <c r="E287" s="221"/>
      <c r="F287" s="207"/>
      <c r="G287" s="208"/>
      <c r="H287" s="207"/>
      <c r="I287" s="222"/>
      <c r="J287" s="275"/>
      <c r="K287" s="223"/>
      <c r="L287" s="538"/>
      <c r="M287" s="252"/>
      <c r="N287" s="364"/>
      <c r="O287" s="364"/>
      <c r="P287" s="365"/>
      <c r="Q287" s="255"/>
      <c r="R287" s="221"/>
      <c r="S287" s="221"/>
      <c r="T287" s="228"/>
      <c r="U287" s="55">
        <f t="shared" si="4"/>
        <v>1.3008627290504997</v>
      </c>
    </row>
    <row r="288" spans="1:21" s="219" customFormat="1">
      <c r="A288" s="229"/>
      <c r="B288" s="230"/>
      <c r="C288" s="231"/>
      <c r="D288" s="232"/>
      <c r="E288" s="233"/>
      <c r="F288" s="234"/>
      <c r="G288" s="235"/>
      <c r="H288" s="234"/>
      <c r="I288" s="236"/>
      <c r="J288" s="235"/>
      <c r="K288" s="237"/>
      <c r="L288" s="238"/>
      <c r="M288" s="239"/>
      <c r="N288" s="240"/>
      <c r="O288" s="240"/>
      <c r="P288" s="241"/>
      <c r="Q288" s="227"/>
      <c r="R288" s="221"/>
      <c r="S288" s="221"/>
      <c r="T288" s="228"/>
      <c r="U288" s="55">
        <f t="shared" si="4"/>
        <v>1.3008627290504997</v>
      </c>
    </row>
    <row r="289" spans="1:21" s="219" customFormat="1" ht="13.5" customHeight="1">
      <c r="A289" s="262">
        <f>A285+1</f>
        <v>7</v>
      </c>
      <c r="B289" s="204" t="s">
        <v>44</v>
      </c>
      <c r="C289" s="523" t="s">
        <v>121</v>
      </c>
      <c r="D289" s="205" t="s">
        <v>33</v>
      </c>
      <c r="E289" s="221">
        <f>(13.6+1.06)/1000*16</f>
        <v>0.23455999999999999</v>
      </c>
      <c r="F289" s="207"/>
      <c r="G289" s="208">
        <v>0</v>
      </c>
      <c r="H289" s="207"/>
      <c r="I289" s="222"/>
      <c r="J289" s="275">
        <v>0</v>
      </c>
      <c r="K289" s="223"/>
      <c r="L289" s="264"/>
      <c r="M289" s="265"/>
      <c r="N289" s="266"/>
      <c r="O289" s="266"/>
      <c r="P289" s="245"/>
      <c r="Q289" s="267"/>
      <c r="R289" s="217">
        <f>G290+J290</f>
        <v>0</v>
      </c>
      <c r="S289" s="533"/>
      <c r="T289" s="525"/>
      <c r="U289" s="55">
        <f t="shared" si="4"/>
        <v>1.3008627290504997</v>
      </c>
    </row>
    <row r="290" spans="1:21" s="219" customFormat="1" ht="12">
      <c r="A290" s="220"/>
      <c r="C290" s="524"/>
      <c r="D290" s="205"/>
      <c r="E290" s="221"/>
      <c r="F290" s="207"/>
      <c r="G290" s="210">
        <f>G289*$J$13/1000</f>
        <v>0</v>
      </c>
      <c r="H290" s="207"/>
      <c r="I290" s="222"/>
      <c r="J290" s="210">
        <f>J289*$Q$13/1000</f>
        <v>0</v>
      </c>
      <c r="K290" s="223"/>
      <c r="L290" s="537" t="s">
        <v>279</v>
      </c>
      <c r="M290" s="269" t="s">
        <v>33</v>
      </c>
      <c r="N290" s="270">
        <v>1</v>
      </c>
      <c r="O290" s="271">
        <f>E289*N290</f>
        <v>0.23455999999999999</v>
      </c>
      <c r="P290" s="272">
        <v>400</v>
      </c>
      <c r="Q290" s="273">
        <f>N290*P290*$N$11</f>
        <v>456.54588000000007</v>
      </c>
      <c r="R290" s="221">
        <f>SUM(Q290:Q290)</f>
        <v>456.54588000000007</v>
      </c>
      <c r="S290" s="534"/>
      <c r="T290" s="526"/>
      <c r="U290" s="55">
        <f t="shared" si="4"/>
        <v>1.3008627290504997</v>
      </c>
    </row>
    <row r="291" spans="1:21" s="219" customFormat="1" ht="12" hidden="1">
      <c r="A291" s="220"/>
      <c r="C291" s="524"/>
      <c r="D291" s="205"/>
      <c r="E291" s="221"/>
      <c r="F291" s="207"/>
      <c r="G291" s="208"/>
      <c r="H291" s="207"/>
      <c r="I291" s="222"/>
      <c r="J291" s="275"/>
      <c r="K291" s="223"/>
      <c r="L291" s="538"/>
      <c r="M291" s="252"/>
      <c r="N291" s="364"/>
      <c r="O291" s="364"/>
      <c r="P291" s="365"/>
      <c r="Q291" s="255"/>
      <c r="R291" s="221"/>
      <c r="S291" s="221"/>
      <c r="T291" s="228"/>
      <c r="U291" s="55">
        <f t="shared" si="4"/>
        <v>1.3008627290504997</v>
      </c>
    </row>
    <row r="292" spans="1:21" s="219" customFormat="1">
      <c r="A292" s="229"/>
      <c r="B292" s="230"/>
      <c r="C292" s="231"/>
      <c r="D292" s="232"/>
      <c r="E292" s="233"/>
      <c r="F292" s="234"/>
      <c r="G292" s="235"/>
      <c r="H292" s="234"/>
      <c r="I292" s="236"/>
      <c r="J292" s="235"/>
      <c r="K292" s="237"/>
      <c r="L292" s="238"/>
      <c r="M292" s="239"/>
      <c r="N292" s="240"/>
      <c r="O292" s="240"/>
      <c r="P292" s="241"/>
      <c r="Q292" s="227"/>
      <c r="R292" s="221"/>
      <c r="S292" s="221"/>
      <c r="T292" s="228"/>
      <c r="U292" s="55">
        <f t="shared" si="4"/>
        <v>1.3008627290504997</v>
      </c>
    </row>
    <row r="293" spans="1:21" s="219" customFormat="1" ht="14.25" customHeight="1">
      <c r="A293" s="262">
        <f>A289+1</f>
        <v>8</v>
      </c>
      <c r="B293" s="204" t="s">
        <v>44</v>
      </c>
      <c r="C293" s="523" t="s">
        <v>122</v>
      </c>
      <c r="D293" s="205" t="s">
        <v>33</v>
      </c>
      <c r="E293" s="221">
        <f>(4.2+0.87)/1000*16</f>
        <v>8.1119999999999998E-2</v>
      </c>
      <c r="F293" s="207"/>
      <c r="G293" s="208">
        <v>0</v>
      </c>
      <c r="H293" s="207"/>
      <c r="I293" s="222"/>
      <c r="J293" s="275">
        <v>0</v>
      </c>
      <c r="K293" s="223"/>
      <c r="L293" s="264"/>
      <c r="M293" s="265"/>
      <c r="N293" s="266"/>
      <c r="O293" s="266"/>
      <c r="P293" s="245"/>
      <c r="Q293" s="267"/>
      <c r="R293" s="217">
        <f>G294+J294</f>
        <v>0</v>
      </c>
      <c r="S293" s="533"/>
      <c r="T293" s="525"/>
      <c r="U293" s="55">
        <f t="shared" si="4"/>
        <v>1.3008627290504997</v>
      </c>
    </row>
    <row r="294" spans="1:21" s="219" customFormat="1" ht="11.25" customHeight="1">
      <c r="A294" s="220"/>
      <c r="C294" s="524"/>
      <c r="D294" s="205"/>
      <c r="E294" s="221"/>
      <c r="F294" s="207"/>
      <c r="G294" s="210">
        <f>G293*$J$13/1000</f>
        <v>0</v>
      </c>
      <c r="H294" s="207"/>
      <c r="I294" s="222"/>
      <c r="J294" s="210">
        <f>J293*$Q$13/1000</f>
        <v>0</v>
      </c>
      <c r="K294" s="223"/>
      <c r="L294" s="537" t="s">
        <v>280</v>
      </c>
      <c r="M294" s="269" t="s">
        <v>33</v>
      </c>
      <c r="N294" s="270">
        <v>1</v>
      </c>
      <c r="O294" s="271">
        <f>E293*N294</f>
        <v>8.1119999999999998E-2</v>
      </c>
      <c r="P294" s="272">
        <v>400</v>
      </c>
      <c r="Q294" s="273">
        <f>N294*P294*$N$11</f>
        <v>456.54588000000007</v>
      </c>
      <c r="R294" s="221">
        <f>SUM(Q294:Q294)</f>
        <v>456.54588000000007</v>
      </c>
      <c r="S294" s="534"/>
      <c r="T294" s="526"/>
      <c r="U294" s="55">
        <f t="shared" si="4"/>
        <v>1.3008627290504997</v>
      </c>
    </row>
    <row r="295" spans="1:21" s="219" customFormat="1" ht="12" hidden="1">
      <c r="A295" s="220"/>
      <c r="C295" s="524"/>
      <c r="D295" s="205"/>
      <c r="E295" s="221"/>
      <c r="F295" s="207"/>
      <c r="G295" s="208"/>
      <c r="H295" s="207"/>
      <c r="I295" s="222"/>
      <c r="J295" s="275"/>
      <c r="K295" s="223"/>
      <c r="L295" s="538"/>
      <c r="M295" s="252"/>
      <c r="N295" s="364"/>
      <c r="O295" s="364"/>
      <c r="P295" s="365"/>
      <c r="Q295" s="255"/>
      <c r="R295" s="221"/>
      <c r="S295" s="221"/>
      <c r="T295" s="228"/>
      <c r="U295" s="55">
        <f t="shared" si="4"/>
        <v>1.3008627290504997</v>
      </c>
    </row>
    <row r="296" spans="1:21" s="219" customFormat="1">
      <c r="A296" s="229"/>
      <c r="B296" s="230"/>
      <c r="C296" s="231"/>
      <c r="D296" s="232"/>
      <c r="E296" s="233"/>
      <c r="F296" s="234"/>
      <c r="G296" s="235"/>
      <c r="H296" s="234"/>
      <c r="I296" s="236"/>
      <c r="J296" s="235"/>
      <c r="K296" s="237"/>
      <c r="L296" s="238"/>
      <c r="M296" s="239"/>
      <c r="N296" s="240"/>
      <c r="O296" s="240"/>
      <c r="P296" s="241"/>
      <c r="Q296" s="227"/>
      <c r="R296" s="221"/>
      <c r="S296" s="221"/>
      <c r="T296" s="228"/>
      <c r="U296" s="55">
        <f t="shared" si="4"/>
        <v>1.3008627290504997</v>
      </c>
    </row>
    <row r="297" spans="1:21" s="219" customFormat="1" ht="13.5" customHeight="1">
      <c r="A297" s="262">
        <f>A293+1</f>
        <v>9</v>
      </c>
      <c r="B297" s="204" t="s">
        <v>44</v>
      </c>
      <c r="C297" s="523" t="s">
        <v>112</v>
      </c>
      <c r="D297" s="205" t="s">
        <v>33</v>
      </c>
      <c r="E297" s="221">
        <f>(4.1+1.76)/1000*16</f>
        <v>9.3759999999999996E-2</v>
      </c>
      <c r="F297" s="207"/>
      <c r="G297" s="208">
        <v>0</v>
      </c>
      <c r="H297" s="207"/>
      <c r="I297" s="222"/>
      <c r="J297" s="275">
        <v>0</v>
      </c>
      <c r="K297" s="223"/>
      <c r="L297" s="264"/>
      <c r="M297" s="265"/>
      <c r="N297" s="266"/>
      <c r="O297" s="266"/>
      <c r="P297" s="245"/>
      <c r="Q297" s="267"/>
      <c r="R297" s="217">
        <f>G298+J298</f>
        <v>0</v>
      </c>
      <c r="S297" s="533"/>
      <c r="T297" s="525"/>
      <c r="U297" s="55">
        <f t="shared" si="4"/>
        <v>1.3008627290504997</v>
      </c>
    </row>
    <row r="298" spans="1:21" s="219" customFormat="1" ht="12">
      <c r="A298" s="220"/>
      <c r="C298" s="524"/>
      <c r="D298" s="205"/>
      <c r="E298" s="221"/>
      <c r="F298" s="207"/>
      <c r="G298" s="210">
        <f>G297*$J$13/1000</f>
        <v>0</v>
      </c>
      <c r="H298" s="207"/>
      <c r="I298" s="222"/>
      <c r="J298" s="210">
        <f>J297*$Q$13/1000</f>
        <v>0</v>
      </c>
      <c r="K298" s="223"/>
      <c r="L298" s="537" t="s">
        <v>57</v>
      </c>
      <c r="M298" s="269" t="s">
        <v>33</v>
      </c>
      <c r="N298" s="270">
        <v>1</v>
      </c>
      <c r="O298" s="271">
        <f>E297*N298</f>
        <v>9.3759999999999996E-2</v>
      </c>
      <c r="P298" s="272">
        <v>422</v>
      </c>
      <c r="Q298" s="273">
        <f>N298*P298*$N$11</f>
        <v>481.65590340000011</v>
      </c>
      <c r="R298" s="221">
        <f>SUM(Q298:Q298)</f>
        <v>481.65590340000011</v>
      </c>
      <c r="S298" s="534"/>
      <c r="T298" s="526"/>
      <c r="U298" s="55">
        <f t="shared" si="4"/>
        <v>1.3008627290504997</v>
      </c>
    </row>
    <row r="299" spans="1:21" s="219" customFormat="1" ht="12" hidden="1">
      <c r="A299" s="220"/>
      <c r="C299" s="524"/>
      <c r="D299" s="205"/>
      <c r="E299" s="221"/>
      <c r="F299" s="207"/>
      <c r="G299" s="208"/>
      <c r="H299" s="207"/>
      <c r="I299" s="222"/>
      <c r="J299" s="275"/>
      <c r="K299" s="223"/>
      <c r="L299" s="538"/>
      <c r="M299" s="252"/>
      <c r="N299" s="364"/>
      <c r="O299" s="364"/>
      <c r="P299" s="365"/>
      <c r="Q299" s="255"/>
      <c r="R299" s="221"/>
      <c r="S299" s="221"/>
      <c r="T299" s="228"/>
      <c r="U299" s="55">
        <f t="shared" si="4"/>
        <v>1.3008627290504997</v>
      </c>
    </row>
    <row r="300" spans="1:21" s="219" customFormat="1">
      <c r="A300" s="229"/>
      <c r="B300" s="230"/>
      <c r="C300" s="231"/>
      <c r="D300" s="232"/>
      <c r="E300" s="233"/>
      <c r="F300" s="234"/>
      <c r="G300" s="235"/>
      <c r="H300" s="234"/>
      <c r="I300" s="236"/>
      <c r="J300" s="235"/>
      <c r="K300" s="237"/>
      <c r="L300" s="238"/>
      <c r="M300" s="239"/>
      <c r="N300" s="240"/>
      <c r="O300" s="240"/>
      <c r="P300" s="241"/>
      <c r="Q300" s="227"/>
      <c r="R300" s="221"/>
      <c r="S300" s="221"/>
      <c r="T300" s="228"/>
      <c r="U300" s="55">
        <f t="shared" si="4"/>
        <v>1.3008627290504997</v>
      </c>
    </row>
    <row r="301" spans="1:21" s="219" customFormat="1" ht="11.25" customHeight="1">
      <c r="A301" s="262">
        <f>A297+1</f>
        <v>10</v>
      </c>
      <c r="B301" s="242" t="s">
        <v>113</v>
      </c>
      <c r="C301" s="523" t="s">
        <v>288</v>
      </c>
      <c r="D301" s="243" t="s">
        <v>35</v>
      </c>
      <c r="E301" s="263">
        <f>0.8*0.05*16</f>
        <v>0.64000000000000012</v>
      </c>
      <c r="F301" s="245"/>
      <c r="G301" s="210">
        <v>12.6</v>
      </c>
      <c r="H301" s="245"/>
      <c r="I301" s="209"/>
      <c r="J301" s="210">
        <v>2.1</v>
      </c>
      <c r="K301" s="211"/>
      <c r="L301" s="264"/>
      <c r="M301" s="265"/>
      <c r="N301" s="266"/>
      <c r="O301" s="266"/>
      <c r="P301" s="245"/>
      <c r="Q301" s="267"/>
      <c r="R301" s="217">
        <f>G302+J302</f>
        <v>27.416277000000001</v>
      </c>
      <c r="S301" s="521"/>
      <c r="T301" s="525"/>
      <c r="U301" s="55">
        <f t="shared" si="4"/>
        <v>1.3008627290504997</v>
      </c>
    </row>
    <row r="302" spans="1:21" s="219" customFormat="1" ht="48" hidden="1">
      <c r="A302" s="220"/>
      <c r="B302" s="249" t="s">
        <v>114</v>
      </c>
      <c r="C302" s="524"/>
      <c r="D302" s="250"/>
      <c r="E302" s="221"/>
      <c r="F302" s="241"/>
      <c r="G302" s="210">
        <f>G301*$J$13/1000</f>
        <v>21.883175999999999</v>
      </c>
      <c r="H302" s="241"/>
      <c r="I302" s="222"/>
      <c r="J302" s="210">
        <f>J301*$Q$13/1000</f>
        <v>5.5331010000000003</v>
      </c>
      <c r="K302" s="223"/>
      <c r="L302" s="268" t="s">
        <v>115</v>
      </c>
      <c r="M302" s="269" t="s">
        <v>39</v>
      </c>
      <c r="N302" s="270">
        <v>1.96</v>
      </c>
      <c r="O302" s="271">
        <f>E301*N302</f>
        <v>1.2544000000000002</v>
      </c>
      <c r="P302" s="272">
        <v>1.2</v>
      </c>
      <c r="Q302" s="273">
        <f>N302*P302*$N$11</f>
        <v>2.6844897744000003</v>
      </c>
      <c r="R302" s="521">
        <f>SUM(Q302:Q304)</f>
        <v>122.25055720241701</v>
      </c>
      <c r="S302" s="522"/>
      <c r="T302" s="526"/>
      <c r="U302" s="55">
        <f t="shared" si="4"/>
        <v>1.3008627290504997</v>
      </c>
    </row>
    <row r="303" spans="1:21" s="219" customFormat="1" ht="11.25" customHeight="1">
      <c r="A303" s="220"/>
      <c r="B303" s="274"/>
      <c r="C303" s="524"/>
      <c r="D303" s="250"/>
      <c r="E303" s="221"/>
      <c r="F303" s="241"/>
      <c r="G303" s="275"/>
      <c r="H303" s="241"/>
      <c r="I303" s="222"/>
      <c r="J303" s="275"/>
      <c r="K303" s="223"/>
      <c r="L303" s="276" t="s">
        <v>116</v>
      </c>
      <c r="M303" s="277" t="s">
        <v>39</v>
      </c>
      <c r="N303" s="278">
        <v>7.2</v>
      </c>
      <c r="O303" s="279">
        <f>E301*N303</f>
        <v>4.6080000000000014</v>
      </c>
      <c r="P303" s="280">
        <v>0.38</v>
      </c>
      <c r="Q303" s="281">
        <f>N303*P303*$N$11</f>
        <v>3.1227738192000007</v>
      </c>
      <c r="R303" s="522"/>
      <c r="S303" s="522"/>
      <c r="T303" s="526"/>
      <c r="U303" s="55">
        <f t="shared" si="4"/>
        <v>1.3008627290504997</v>
      </c>
    </row>
    <row r="304" spans="1:21" s="219" customFormat="1" ht="0.75" customHeight="1">
      <c r="A304" s="220"/>
      <c r="B304" s="274"/>
      <c r="C304" s="524"/>
      <c r="D304" s="250"/>
      <c r="E304" s="221"/>
      <c r="F304" s="241"/>
      <c r="G304" s="275"/>
      <c r="H304" s="241"/>
      <c r="I304" s="222"/>
      <c r="J304" s="275"/>
      <c r="K304" s="223"/>
      <c r="L304" s="282" t="s">
        <v>38</v>
      </c>
      <c r="M304" s="283" t="s">
        <v>35</v>
      </c>
      <c r="N304" s="360">
        <v>0.83</v>
      </c>
      <c r="O304" s="285">
        <f>E301*N304</f>
        <v>0.53120000000000012</v>
      </c>
      <c r="P304" s="286">
        <v>122.917</v>
      </c>
      <c r="Q304" s="287">
        <f>N304*P304*$N$11</f>
        <v>116.44329360881702</v>
      </c>
      <c r="R304" s="522"/>
      <c r="S304" s="522"/>
      <c r="T304" s="526"/>
      <c r="U304" s="55">
        <f t="shared" si="4"/>
        <v>1.3008627290504997</v>
      </c>
    </row>
    <row r="305" spans="1:24" s="219" customFormat="1" ht="12.75" customHeight="1">
      <c r="A305" s="229"/>
      <c r="B305" s="230"/>
      <c r="C305" s="231"/>
      <c r="D305" s="232"/>
      <c r="E305" s="233"/>
      <c r="F305" s="234"/>
      <c r="G305" s="235"/>
      <c r="H305" s="234"/>
      <c r="I305" s="236"/>
      <c r="J305" s="235"/>
      <c r="K305" s="237"/>
      <c r="L305" s="256"/>
      <c r="M305" s="257"/>
      <c r="N305" s="288"/>
      <c r="O305" s="288"/>
      <c r="P305" s="241"/>
      <c r="Q305" s="227"/>
      <c r="R305" s="221"/>
      <c r="S305" s="221"/>
      <c r="T305" s="228"/>
      <c r="U305" s="55">
        <f t="shared" si="4"/>
        <v>1.3008627290504997</v>
      </c>
    </row>
    <row r="306" spans="1:24" ht="12.75" customHeight="1">
      <c r="A306" s="262">
        <f>A301+1</f>
        <v>11</v>
      </c>
      <c r="B306" s="343" t="s">
        <v>55</v>
      </c>
      <c r="C306" s="542" t="s">
        <v>117</v>
      </c>
      <c r="D306" s="344" t="s">
        <v>42</v>
      </c>
      <c r="E306" s="61">
        <f>0.8/100*16</f>
        <v>0.128</v>
      </c>
      <c r="F306" s="346"/>
      <c r="G306" s="347">
        <v>38.4</v>
      </c>
      <c r="H306" s="346"/>
      <c r="I306" s="63"/>
      <c r="J306" s="71">
        <v>0.03</v>
      </c>
      <c r="K306" s="64"/>
      <c r="O306" s="99"/>
      <c r="P306" s="46"/>
      <c r="Q306" s="53"/>
      <c r="R306" s="54">
        <f>G307+J307</f>
        <v>66.770628300000013</v>
      </c>
      <c r="S306" s="533"/>
      <c r="T306" s="543"/>
      <c r="U306" s="55">
        <f t="shared" si="4"/>
        <v>1.3008627290504997</v>
      </c>
      <c r="V306" s="57"/>
      <c r="W306" s="57"/>
      <c r="X306" s="57"/>
    </row>
    <row r="307" spans="1:24" ht="12" customHeight="1">
      <c r="A307" s="58"/>
      <c r="B307" s="343" t="s">
        <v>56</v>
      </c>
      <c r="C307" s="542"/>
      <c r="D307" s="344"/>
      <c r="E307" s="61"/>
      <c r="F307" s="346"/>
      <c r="G307" s="210">
        <f>G306*$J$13/1000</f>
        <v>66.691584000000006</v>
      </c>
      <c r="H307" s="207"/>
      <c r="I307" s="222"/>
      <c r="J307" s="210">
        <f>J306*$Q$13/1000</f>
        <v>7.9044299999999998E-2</v>
      </c>
      <c r="K307" s="64"/>
      <c r="L307" s="323" t="s">
        <v>118</v>
      </c>
      <c r="M307" s="324" t="s">
        <v>39</v>
      </c>
      <c r="N307" s="325">
        <v>27.3</v>
      </c>
      <c r="O307" s="326">
        <f>E306*N307</f>
        <v>3.4944000000000002</v>
      </c>
      <c r="P307" s="327">
        <v>1.2</v>
      </c>
      <c r="Q307" s="273">
        <f>N307*P307*$N$11</f>
        <v>37.391107572000003</v>
      </c>
      <c r="R307" s="61">
        <f>SUM(Q307:Q307)</f>
        <v>37.391107572000003</v>
      </c>
      <c r="S307" s="534"/>
      <c r="T307" s="544"/>
      <c r="U307" s="55">
        <f t="shared" si="4"/>
        <v>1.3008627290504997</v>
      </c>
      <c r="V307" s="57"/>
      <c r="W307" s="57"/>
      <c r="X307" s="57"/>
    </row>
    <row r="308" spans="1:24" ht="12.75" hidden="1" customHeight="1">
      <c r="A308" s="58"/>
      <c r="B308" s="57"/>
      <c r="C308" s="542"/>
      <c r="D308" s="344"/>
      <c r="E308" s="61"/>
      <c r="F308" s="346"/>
      <c r="G308" s="347"/>
      <c r="H308" s="346"/>
      <c r="I308" s="63"/>
      <c r="K308" s="64"/>
      <c r="L308" s="366"/>
      <c r="M308" s="367"/>
      <c r="N308" s="368"/>
      <c r="O308" s="368"/>
      <c r="P308" s="346"/>
      <c r="Q308" s="100"/>
      <c r="R308" s="61"/>
      <c r="S308" s="61"/>
      <c r="T308" s="101"/>
      <c r="U308" s="55">
        <f t="shared" si="4"/>
        <v>1.3008627290504997</v>
      </c>
      <c r="V308" s="57"/>
      <c r="W308" s="57"/>
      <c r="X308" s="57"/>
    </row>
    <row r="309" spans="1:24" ht="12.75" hidden="1" customHeight="1">
      <c r="A309" s="58"/>
      <c r="B309" s="57"/>
      <c r="C309" s="542"/>
      <c r="D309" s="344"/>
      <c r="E309" s="61"/>
      <c r="F309" s="346"/>
      <c r="G309" s="347"/>
      <c r="H309" s="346"/>
      <c r="I309" s="63"/>
      <c r="K309" s="64"/>
      <c r="L309" s="366"/>
      <c r="M309" s="367"/>
      <c r="N309" s="368"/>
      <c r="O309" s="368"/>
      <c r="P309" s="346"/>
      <c r="Q309" s="100"/>
      <c r="R309" s="61"/>
      <c r="S309" s="61"/>
      <c r="T309" s="101"/>
      <c r="U309" s="55">
        <f t="shared" si="4"/>
        <v>1.3008627290504997</v>
      </c>
      <c r="V309" s="57"/>
      <c r="W309" s="57"/>
      <c r="X309" s="57"/>
    </row>
    <row r="310" spans="1:24" ht="12.75" customHeight="1">
      <c r="A310" s="76"/>
      <c r="B310" s="77"/>
      <c r="C310" s="78"/>
      <c r="D310" s="79"/>
      <c r="E310" s="80"/>
      <c r="F310" s="81"/>
      <c r="G310" s="82"/>
      <c r="H310" s="81"/>
      <c r="I310" s="83"/>
      <c r="J310" s="82"/>
      <c r="K310" s="84"/>
      <c r="L310" s="85"/>
      <c r="M310" s="86"/>
      <c r="N310" s="87"/>
      <c r="O310" s="87"/>
      <c r="P310" s="81"/>
      <c r="Q310" s="88"/>
      <c r="R310" s="80"/>
      <c r="S310" s="80"/>
      <c r="T310" s="101"/>
      <c r="U310" s="55">
        <f t="shared" si="4"/>
        <v>1.3008627290504997</v>
      </c>
      <c r="V310" s="57"/>
      <c r="W310" s="57"/>
      <c r="X310" s="57"/>
    </row>
    <row r="311" spans="1:24" ht="12.75" customHeight="1">
      <c r="A311" s="262">
        <f>A306+1</f>
        <v>12</v>
      </c>
      <c r="B311" s="343" t="s">
        <v>55</v>
      </c>
      <c r="C311" s="542" t="s">
        <v>123</v>
      </c>
      <c r="D311" s="344" t="s">
        <v>42</v>
      </c>
      <c r="E311" s="61">
        <f>3.5/100*16</f>
        <v>0.56000000000000005</v>
      </c>
      <c r="F311" s="346"/>
      <c r="G311" s="347">
        <v>38.4</v>
      </c>
      <c r="H311" s="346"/>
      <c r="I311" s="63"/>
      <c r="J311" s="71">
        <v>0.03</v>
      </c>
      <c r="K311" s="64"/>
      <c r="O311" s="99"/>
      <c r="Q311" s="100"/>
      <c r="R311" s="80">
        <f>G312+J312</f>
        <v>66.770628300000013</v>
      </c>
      <c r="S311" s="533"/>
      <c r="T311" s="543"/>
      <c r="U311" s="55">
        <f t="shared" si="4"/>
        <v>1.3008627290504997</v>
      </c>
      <c r="V311" s="57"/>
      <c r="W311" s="57"/>
      <c r="X311" s="57"/>
    </row>
    <row r="312" spans="1:24" ht="12" customHeight="1">
      <c r="A312" s="58"/>
      <c r="B312" s="343" t="s">
        <v>56</v>
      </c>
      <c r="C312" s="542"/>
      <c r="D312" s="344"/>
      <c r="E312" s="61"/>
      <c r="F312" s="346"/>
      <c r="G312" s="210">
        <f>G311*$J$13/1000</f>
        <v>66.691584000000006</v>
      </c>
      <c r="H312" s="207"/>
      <c r="I312" s="222"/>
      <c r="J312" s="210">
        <f>J311*$Q$13/1000</f>
        <v>7.9044299999999998E-2</v>
      </c>
      <c r="K312" s="64"/>
      <c r="L312" s="323" t="s">
        <v>43</v>
      </c>
      <c r="M312" s="324" t="s">
        <v>39</v>
      </c>
      <c r="N312" s="325">
        <v>27.3</v>
      </c>
      <c r="O312" s="326">
        <f>E311*N312</f>
        <v>15.288000000000002</v>
      </c>
      <c r="P312" s="327">
        <v>1.02</v>
      </c>
      <c r="Q312" s="273">
        <f>N312*P312*$N$11</f>
        <v>31.782441436200006</v>
      </c>
      <c r="R312" s="61">
        <f>SUM(Q312:Q312)</f>
        <v>31.782441436200006</v>
      </c>
      <c r="S312" s="534"/>
      <c r="T312" s="544"/>
      <c r="U312" s="55">
        <f t="shared" si="4"/>
        <v>1.3008627290504997</v>
      </c>
      <c r="V312" s="57"/>
      <c r="W312" s="57"/>
      <c r="X312" s="57"/>
    </row>
    <row r="313" spans="1:24" ht="12.75" hidden="1" customHeight="1">
      <c r="A313" s="58"/>
      <c r="B313" s="57"/>
      <c r="C313" s="542"/>
      <c r="D313" s="344"/>
      <c r="E313" s="61"/>
      <c r="F313" s="346"/>
      <c r="G313" s="347"/>
      <c r="H313" s="346"/>
      <c r="I313" s="63"/>
      <c r="K313" s="64"/>
      <c r="L313" s="366"/>
      <c r="M313" s="367"/>
      <c r="N313" s="368"/>
      <c r="O313" s="368"/>
      <c r="P313" s="346"/>
      <c r="Q313" s="100"/>
      <c r="R313" s="61"/>
      <c r="S313" s="61"/>
      <c r="T313" s="101"/>
      <c r="U313" s="55">
        <f t="shared" si="4"/>
        <v>1.3008627290504997</v>
      </c>
      <c r="V313" s="57"/>
      <c r="W313" s="57"/>
      <c r="X313" s="57"/>
    </row>
    <row r="314" spans="1:24" ht="12.75" hidden="1" customHeight="1">
      <c r="A314" s="58"/>
      <c r="B314" s="57"/>
      <c r="C314" s="542"/>
      <c r="D314" s="344"/>
      <c r="E314" s="61"/>
      <c r="F314" s="346"/>
      <c r="G314" s="347"/>
      <c r="H314" s="346"/>
      <c r="I314" s="63"/>
      <c r="K314" s="64"/>
      <c r="L314" s="366"/>
      <c r="M314" s="367"/>
      <c r="N314" s="368"/>
      <c r="O314" s="368"/>
      <c r="P314" s="346"/>
      <c r="Q314" s="100"/>
      <c r="R314" s="61"/>
      <c r="S314" s="61"/>
      <c r="T314" s="101"/>
      <c r="U314" s="55">
        <f t="shared" si="4"/>
        <v>1.3008627290504997</v>
      </c>
      <c r="V314" s="57"/>
      <c r="W314" s="57"/>
      <c r="X314" s="57"/>
    </row>
    <row r="315" spans="1:24" ht="12.75" customHeight="1">
      <c r="A315" s="76"/>
      <c r="B315" s="77"/>
      <c r="C315" s="78"/>
      <c r="D315" s="79"/>
      <c r="E315" s="80"/>
      <c r="F315" s="81"/>
      <c r="G315" s="82"/>
      <c r="H315" s="81"/>
      <c r="I315" s="83"/>
      <c r="J315" s="82"/>
      <c r="K315" s="84"/>
      <c r="O315" s="99"/>
      <c r="Q315" s="100"/>
      <c r="R315" s="61"/>
      <c r="S315" s="61"/>
      <c r="T315" s="101"/>
      <c r="U315" s="55">
        <f t="shared" si="4"/>
        <v>1.3008627290504997</v>
      </c>
      <c r="V315" s="57"/>
      <c r="W315" s="57"/>
      <c r="X315" s="57"/>
    </row>
    <row r="316" spans="1:24" s="117" customFormat="1" ht="12.75" customHeight="1" thickBot="1">
      <c r="A316" s="145"/>
      <c r="B316" s="146"/>
      <c r="C316" s="147" t="s">
        <v>25</v>
      </c>
      <c r="D316" s="148"/>
      <c r="E316" s="149"/>
      <c r="F316" s="150"/>
      <c r="G316" s="151"/>
      <c r="H316" s="150"/>
      <c r="I316" s="152"/>
      <c r="J316" s="151"/>
      <c r="K316" s="153"/>
      <c r="L316" s="154"/>
      <c r="M316" s="155"/>
      <c r="N316" s="156"/>
      <c r="O316" s="157"/>
      <c r="P316" s="150"/>
      <c r="Q316" s="151"/>
      <c r="R316" s="157"/>
      <c r="S316" s="157"/>
      <c r="T316" s="158">
        <f>SUM(T264:T315)</f>
        <v>0</v>
      </c>
      <c r="U316" s="55">
        <f t="shared" si="4"/>
        <v>1.3008627290504997</v>
      </c>
    </row>
    <row r="317" spans="1:24" s="117" customFormat="1" ht="12.75" customHeight="1" thickTop="1">
      <c r="A317" s="559" t="s">
        <v>257</v>
      </c>
      <c r="B317" s="560"/>
      <c r="C317" s="560"/>
      <c r="D317" s="560"/>
      <c r="E317" s="561"/>
      <c r="F317" s="509"/>
      <c r="G317" s="509"/>
      <c r="H317" s="509"/>
      <c r="I317" s="510"/>
      <c r="J317" s="509"/>
      <c r="K317" s="511"/>
      <c r="L317" s="509"/>
      <c r="M317" s="509"/>
      <c r="N317" s="509"/>
      <c r="O317" s="509"/>
      <c r="P317" s="509"/>
      <c r="Q317" s="509"/>
      <c r="R317" s="509"/>
      <c r="S317" s="568">
        <v>2.87E-2</v>
      </c>
      <c r="T317" s="569"/>
      <c r="U317" s="55">
        <f t="shared" si="4"/>
        <v>1.3008627290504997</v>
      </c>
    </row>
    <row r="318" spans="1:24" s="117" customFormat="1" ht="4.5" customHeight="1">
      <c r="A318" s="562"/>
      <c r="B318" s="563"/>
      <c r="C318" s="563"/>
      <c r="D318" s="563"/>
      <c r="E318" s="564"/>
      <c r="F318" s="512"/>
      <c r="G318" s="512"/>
      <c r="H318" s="512"/>
      <c r="I318" s="513"/>
      <c r="J318" s="512"/>
      <c r="K318" s="514"/>
      <c r="L318" s="512"/>
      <c r="M318" s="512"/>
      <c r="N318" s="512"/>
      <c r="O318" s="512"/>
      <c r="P318" s="512"/>
      <c r="Q318" s="512"/>
      <c r="R318" s="512"/>
      <c r="S318" s="570"/>
      <c r="T318" s="571"/>
      <c r="U318" s="55">
        <f t="shared" si="4"/>
        <v>1.3008627290504997</v>
      </c>
    </row>
    <row r="319" spans="1:24" s="117" customFormat="1" ht="12.75" customHeight="1">
      <c r="A319" s="565"/>
      <c r="B319" s="566"/>
      <c r="C319" s="566"/>
      <c r="D319" s="566"/>
      <c r="E319" s="567"/>
      <c r="F319" s="515"/>
      <c r="G319" s="515"/>
      <c r="H319" s="515"/>
      <c r="I319" s="516"/>
      <c r="J319" s="515"/>
      <c r="K319" s="517"/>
      <c r="L319" s="515"/>
      <c r="M319" s="515"/>
      <c r="N319" s="515"/>
      <c r="O319" s="515"/>
      <c r="P319" s="515"/>
      <c r="Q319" s="515"/>
      <c r="R319" s="515"/>
      <c r="S319" s="572"/>
      <c r="T319" s="573"/>
      <c r="U319" s="55">
        <f t="shared" si="4"/>
        <v>1.3008627290504997</v>
      </c>
    </row>
    <row r="320" spans="1:24" s="219" customFormat="1" ht="9.75" customHeight="1">
      <c r="A320" s="203">
        <v>1</v>
      </c>
      <c r="B320" s="204" t="s">
        <v>222</v>
      </c>
      <c r="C320" s="523" t="s">
        <v>223</v>
      </c>
      <c r="D320" s="205" t="s">
        <v>130</v>
      </c>
      <c r="E320" s="206">
        <f>1.45/4*17/1000</f>
        <v>6.1624999999999996E-3</v>
      </c>
      <c r="F320" s="207"/>
      <c r="G320" s="208">
        <v>4.91</v>
      </c>
      <c r="H320" s="207"/>
      <c r="I320" s="209"/>
      <c r="J320" s="210">
        <v>119.09</v>
      </c>
      <c r="K320" s="211"/>
      <c r="L320" s="212"/>
      <c r="M320" s="213"/>
      <c r="N320" s="214"/>
      <c r="O320" s="214"/>
      <c r="P320" s="215"/>
      <c r="Q320" s="216"/>
      <c r="R320" s="217">
        <f>G321+J321</f>
        <v>322.30701449999998</v>
      </c>
      <c r="S320" s="533"/>
      <c r="T320" s="218"/>
      <c r="U320" s="55">
        <f t="shared" si="4"/>
        <v>1.3008627290504997</v>
      </c>
    </row>
    <row r="321" spans="1:21" s="219" customFormat="1" ht="12">
      <c r="A321" s="220"/>
      <c r="B321" s="204"/>
      <c r="C321" s="524"/>
      <c r="D321" s="205"/>
      <c r="E321" s="221"/>
      <c r="F321" s="207"/>
      <c r="G321" s="210">
        <f>G320*$J$13/1000</f>
        <v>8.5274915999999994</v>
      </c>
      <c r="H321" s="207"/>
      <c r="I321" s="222"/>
      <c r="J321" s="210">
        <f>J320*$Q$13/1000</f>
        <v>313.77952289999996</v>
      </c>
      <c r="K321" s="223"/>
      <c r="L321" s="224"/>
      <c r="M321" s="225"/>
      <c r="N321" s="226"/>
      <c r="O321" s="226"/>
      <c r="P321" s="207"/>
      <c r="Q321" s="227"/>
      <c r="R321" s="221"/>
      <c r="S321" s="534"/>
      <c r="T321" s="228"/>
      <c r="U321" s="55">
        <f t="shared" si="4"/>
        <v>1.3008627290504997</v>
      </c>
    </row>
    <row r="322" spans="1:21" s="219" customFormat="1">
      <c r="A322" s="229"/>
      <c r="B322" s="230"/>
      <c r="C322" s="231"/>
      <c r="D322" s="232"/>
      <c r="E322" s="233"/>
      <c r="F322" s="234"/>
      <c r="G322" s="235"/>
      <c r="H322" s="234"/>
      <c r="I322" s="236"/>
      <c r="J322" s="235"/>
      <c r="K322" s="237"/>
      <c r="L322" s="238"/>
      <c r="M322" s="239"/>
      <c r="N322" s="240"/>
      <c r="O322" s="240"/>
      <c r="P322" s="241"/>
      <c r="Q322" s="227"/>
      <c r="R322" s="221"/>
      <c r="S322" s="221"/>
      <c r="T322" s="228"/>
      <c r="U322" s="55">
        <f t="shared" si="4"/>
        <v>1.3008627290504997</v>
      </c>
    </row>
    <row r="323" spans="1:21" s="219" customFormat="1" ht="15.75" customHeight="1">
      <c r="A323" s="203">
        <f>A320+1</f>
        <v>2</v>
      </c>
      <c r="B323" s="242" t="s">
        <v>34</v>
      </c>
      <c r="C323" s="523" t="s">
        <v>224</v>
      </c>
      <c r="D323" s="243" t="s">
        <v>35</v>
      </c>
      <c r="E323" s="206">
        <f>0.16/4*17</f>
        <v>0.68</v>
      </c>
      <c r="F323" s="245"/>
      <c r="G323" s="210">
        <v>1.82</v>
      </c>
      <c r="H323" s="245"/>
      <c r="I323" s="209"/>
      <c r="J323" s="210">
        <v>1.06</v>
      </c>
      <c r="K323" s="211"/>
      <c r="L323" s="246"/>
      <c r="M323" s="213"/>
      <c r="N323" s="247"/>
      <c r="O323" s="248"/>
      <c r="P323" s="215"/>
      <c r="Q323" s="216"/>
      <c r="R323" s="217">
        <f>G324+J324</f>
        <v>5.9538018000000008</v>
      </c>
      <c r="S323" s="533"/>
      <c r="T323" s="525"/>
      <c r="U323" s="55">
        <f t="shared" si="4"/>
        <v>1.3008627290504997</v>
      </c>
    </row>
    <row r="324" spans="1:21" s="219" customFormat="1" ht="11.25" customHeight="1">
      <c r="A324" s="220"/>
      <c r="B324" s="249" t="s">
        <v>41</v>
      </c>
      <c r="C324" s="524"/>
      <c r="D324" s="250"/>
      <c r="E324" s="221"/>
      <c r="F324" s="241"/>
      <c r="G324" s="210">
        <f>G323*$J$13/1000</f>
        <v>3.1609032000000004</v>
      </c>
      <c r="H324" s="241"/>
      <c r="I324" s="222"/>
      <c r="J324" s="210">
        <f>J323*$Q$13/1000</f>
        <v>2.7928986</v>
      </c>
      <c r="K324" s="223"/>
      <c r="L324" s="251" t="s">
        <v>48</v>
      </c>
      <c r="M324" s="252" t="s">
        <v>35</v>
      </c>
      <c r="N324" s="253">
        <f>0.97+0.27</f>
        <v>1.24</v>
      </c>
      <c r="O324" s="253">
        <f>E323*N324</f>
        <v>0.84320000000000006</v>
      </c>
      <c r="P324" s="254">
        <v>4</v>
      </c>
      <c r="Q324" s="255">
        <f>N324*P324*$N$11</f>
        <v>5.6611689120000008</v>
      </c>
      <c r="R324" s="221">
        <f>SUM(Q324:Q324)</f>
        <v>5.6611689120000008</v>
      </c>
      <c r="S324" s="534"/>
      <c r="T324" s="526"/>
      <c r="U324" s="55">
        <f t="shared" si="4"/>
        <v>1.3008627290504997</v>
      </c>
    </row>
    <row r="325" spans="1:21" s="219" customFormat="1">
      <c r="A325" s="229"/>
      <c r="B325" s="230"/>
      <c r="C325" s="231"/>
      <c r="D325" s="232"/>
      <c r="E325" s="233"/>
      <c r="F325" s="234"/>
      <c r="G325" s="235"/>
      <c r="H325" s="234"/>
      <c r="I325" s="236"/>
      <c r="J325" s="235"/>
      <c r="K325" s="237"/>
      <c r="L325" s="256"/>
      <c r="M325" s="257"/>
      <c r="N325" s="258"/>
      <c r="O325" s="259"/>
      <c r="P325" s="234"/>
      <c r="Q325" s="260"/>
      <c r="R325" s="233"/>
      <c r="S325" s="233"/>
      <c r="T325" s="261"/>
      <c r="U325" s="55">
        <f t="shared" si="4"/>
        <v>1.3008627290504997</v>
      </c>
    </row>
    <row r="326" spans="1:21" s="219" customFormat="1" ht="15.75" customHeight="1">
      <c r="A326" s="262">
        <f>A323+1</f>
        <v>3</v>
      </c>
      <c r="B326" s="242" t="s">
        <v>259</v>
      </c>
      <c r="C326" s="523" t="s">
        <v>258</v>
      </c>
      <c r="D326" s="243" t="s">
        <v>35</v>
      </c>
      <c r="E326" s="263">
        <f>0.96/4*17</f>
        <v>4.08</v>
      </c>
      <c r="F326" s="245"/>
      <c r="G326" s="210">
        <v>1.74</v>
      </c>
      <c r="H326" s="245"/>
      <c r="I326" s="209"/>
      <c r="J326" s="210">
        <v>0.69</v>
      </c>
      <c r="K326" s="211"/>
      <c r="L326" s="246"/>
      <c r="M326" s="213"/>
      <c r="N326" s="214"/>
      <c r="O326" s="214"/>
      <c r="P326" s="215"/>
      <c r="Q326" s="216"/>
      <c r="R326" s="217">
        <f>G327+J327</f>
        <v>4.8399812999999998</v>
      </c>
      <c r="S326" s="550"/>
      <c r="T326" s="525"/>
      <c r="U326" s="55">
        <f t="shared" si="4"/>
        <v>1.3008627290504997</v>
      </c>
    </row>
    <row r="327" spans="1:21" s="219" customFormat="1" ht="11.25" customHeight="1">
      <c r="A327" s="220"/>
      <c r="B327" s="249"/>
      <c r="C327" s="524"/>
      <c r="D327" s="250"/>
      <c r="E327" s="221"/>
      <c r="F327" s="241"/>
      <c r="G327" s="210">
        <f>G326*$J$13/1000</f>
        <v>3.0219624</v>
      </c>
      <c r="H327" s="241"/>
      <c r="I327" s="222"/>
      <c r="J327" s="210">
        <f>J326*$Q$13/1000</f>
        <v>1.8180188999999998</v>
      </c>
      <c r="K327" s="223"/>
      <c r="L327" s="251" t="s">
        <v>260</v>
      </c>
      <c r="M327" s="252" t="s">
        <v>35</v>
      </c>
      <c r="N327" s="253">
        <v>0.44</v>
      </c>
      <c r="O327" s="253">
        <f>E326*N327</f>
        <v>1.7952000000000001</v>
      </c>
      <c r="P327" s="254">
        <v>3.3</v>
      </c>
      <c r="Q327" s="255">
        <f>N327*P327*$N$11</f>
        <v>1.6572615444000003</v>
      </c>
      <c r="R327" s="521">
        <f>SUM(Q327:Q330)</f>
        <v>30.242126059281997</v>
      </c>
      <c r="S327" s="551"/>
      <c r="T327" s="526"/>
      <c r="U327" s="55">
        <f t="shared" si="4"/>
        <v>1.3008627290504997</v>
      </c>
    </row>
    <row r="328" spans="1:21" s="219" customFormat="1" ht="12" hidden="1">
      <c r="A328" s="220"/>
      <c r="B328" s="274"/>
      <c r="C328" s="524"/>
      <c r="D328" s="250"/>
      <c r="E328" s="221"/>
      <c r="F328" s="241"/>
      <c r="G328" s="275"/>
      <c r="H328" s="241"/>
      <c r="I328" s="222"/>
      <c r="J328" s="275"/>
      <c r="K328" s="223"/>
      <c r="L328" s="276" t="s">
        <v>65</v>
      </c>
      <c r="M328" s="277" t="s">
        <v>35</v>
      </c>
      <c r="N328" s="278">
        <v>0.71</v>
      </c>
      <c r="O328" s="279">
        <f>E326*N328</f>
        <v>2.8967999999999998</v>
      </c>
      <c r="P328" s="280">
        <v>29</v>
      </c>
      <c r="Q328" s="281">
        <f>N328*P328*$N$11</f>
        <v>23.500699173000005</v>
      </c>
      <c r="R328" s="522"/>
      <c r="S328" s="551"/>
      <c r="T328" s="526"/>
      <c r="U328" s="55">
        <f t="shared" si="4"/>
        <v>1.3008627290504997</v>
      </c>
    </row>
    <row r="329" spans="1:21" s="219" customFormat="1" ht="12" hidden="1">
      <c r="A329" s="220"/>
      <c r="B329" s="274"/>
      <c r="C329" s="524"/>
      <c r="D329" s="250"/>
      <c r="E329" s="221"/>
      <c r="F329" s="241"/>
      <c r="G329" s="275"/>
      <c r="H329" s="241"/>
      <c r="I329" s="222"/>
      <c r="J329" s="275"/>
      <c r="K329" s="223"/>
      <c r="L329" s="276" t="s">
        <v>36</v>
      </c>
      <c r="M329" s="277" t="s">
        <v>37</v>
      </c>
      <c r="N329" s="278">
        <v>0.91800000000000004</v>
      </c>
      <c r="O329" s="279">
        <f>E326*N329</f>
        <v>3.7454400000000003</v>
      </c>
      <c r="P329" s="280">
        <v>3.5</v>
      </c>
      <c r="Q329" s="281">
        <f>N329*P329*$N$11</f>
        <v>3.667204781100001</v>
      </c>
      <c r="R329" s="522"/>
      <c r="S329" s="551"/>
      <c r="T329" s="526"/>
      <c r="U329" s="55">
        <f t="shared" si="4"/>
        <v>1.3008627290504997</v>
      </c>
    </row>
    <row r="330" spans="1:21" s="219" customFormat="1" ht="12" hidden="1">
      <c r="A330" s="220"/>
      <c r="B330" s="274"/>
      <c r="C330" s="524"/>
      <c r="D330" s="250"/>
      <c r="E330" s="221"/>
      <c r="F330" s="241"/>
      <c r="G330" s="275"/>
      <c r="H330" s="241"/>
      <c r="I330" s="222"/>
      <c r="J330" s="275"/>
      <c r="K330" s="223"/>
      <c r="L330" s="282" t="s">
        <v>38</v>
      </c>
      <c r="M330" s="283" t="s">
        <v>35</v>
      </c>
      <c r="N330" s="284">
        <v>1.01E-2</v>
      </c>
      <c r="O330" s="285">
        <f>E326*N330</f>
        <v>4.1208000000000002E-2</v>
      </c>
      <c r="P330" s="286">
        <v>122.917</v>
      </c>
      <c r="Q330" s="287">
        <f>N330*P330*$N$11</f>
        <v>1.4169605607819902</v>
      </c>
      <c r="R330" s="522"/>
      <c r="S330" s="551"/>
      <c r="T330" s="526"/>
      <c r="U330" s="55">
        <f t="shared" si="4"/>
        <v>1.3008627290504997</v>
      </c>
    </row>
    <row r="331" spans="1:21" s="219" customFormat="1">
      <c r="A331" s="229"/>
      <c r="B331" s="230"/>
      <c r="C331" s="231"/>
      <c r="D331" s="232"/>
      <c r="E331" s="233"/>
      <c r="F331" s="234"/>
      <c r="G331" s="235"/>
      <c r="H331" s="234"/>
      <c r="I331" s="236"/>
      <c r="J331" s="235"/>
      <c r="K331" s="237"/>
      <c r="L331" s="256"/>
      <c r="M331" s="257"/>
      <c r="N331" s="288"/>
      <c r="O331" s="288"/>
      <c r="P331" s="234"/>
      <c r="Q331" s="260"/>
      <c r="R331" s="233"/>
      <c r="S331" s="233"/>
      <c r="T331" s="261"/>
      <c r="U331" s="55">
        <f t="shared" si="4"/>
        <v>1.3008627290504997</v>
      </c>
    </row>
    <row r="332" spans="1:21" s="219" customFormat="1" ht="15" customHeight="1">
      <c r="A332" s="262">
        <f>A326+1</f>
        <v>4</v>
      </c>
      <c r="B332" s="204" t="s">
        <v>160</v>
      </c>
      <c r="C332" s="523" t="s">
        <v>161</v>
      </c>
      <c r="D332" s="205" t="s">
        <v>31</v>
      </c>
      <c r="E332" s="296">
        <f>0.33/100/4*17</f>
        <v>1.4024999999999999E-2</v>
      </c>
      <c r="F332" s="207"/>
      <c r="G332" s="208">
        <v>56.2</v>
      </c>
      <c r="H332" s="207"/>
      <c r="I332" s="222"/>
      <c r="J332" s="275">
        <v>0</v>
      </c>
      <c r="K332" s="223"/>
      <c r="L332" s="212"/>
      <c r="M332" s="213"/>
      <c r="N332" s="214"/>
      <c r="O332" s="214"/>
      <c r="P332" s="215"/>
      <c r="Q332" s="216"/>
      <c r="R332" s="217">
        <f>G333+J333</f>
        <v>97.605912000000018</v>
      </c>
      <c r="S332" s="533"/>
      <c r="T332" s="218"/>
      <c r="U332" s="55">
        <f t="shared" si="4"/>
        <v>1.3008627290504997</v>
      </c>
    </row>
    <row r="333" spans="1:21" s="219" customFormat="1" ht="14.25" customHeight="1">
      <c r="A333" s="220"/>
      <c r="B333" s="204" t="s">
        <v>125</v>
      </c>
      <c r="C333" s="524"/>
      <c r="D333" s="205"/>
      <c r="E333" s="221"/>
      <c r="F333" s="207"/>
      <c r="G333" s="210">
        <f>G332*$J$13/1000</f>
        <v>97.605912000000018</v>
      </c>
      <c r="H333" s="207"/>
      <c r="I333" s="222"/>
      <c r="J333" s="210">
        <f>J332*$Q$6/1000</f>
        <v>0</v>
      </c>
      <c r="K333" s="223"/>
      <c r="L333" s="224"/>
      <c r="M333" s="225"/>
      <c r="N333" s="226"/>
      <c r="O333" s="226"/>
      <c r="P333" s="207"/>
      <c r="Q333" s="227"/>
      <c r="R333" s="221"/>
      <c r="S333" s="534"/>
      <c r="T333" s="228"/>
      <c r="U333" s="55">
        <f t="shared" si="4"/>
        <v>1.3008627290504997</v>
      </c>
    </row>
    <row r="334" spans="1:21" s="219" customFormat="1">
      <c r="A334" s="229"/>
      <c r="B334" s="230"/>
      <c r="C334" s="231"/>
      <c r="D334" s="232"/>
      <c r="E334" s="233"/>
      <c r="F334" s="234"/>
      <c r="G334" s="235"/>
      <c r="H334" s="234"/>
      <c r="I334" s="236"/>
      <c r="J334" s="235"/>
      <c r="K334" s="237"/>
      <c r="L334" s="238"/>
      <c r="M334" s="239"/>
      <c r="N334" s="240"/>
      <c r="O334" s="240"/>
      <c r="P334" s="241"/>
      <c r="Q334" s="227"/>
      <c r="R334" s="221"/>
      <c r="S334" s="221"/>
      <c r="T334" s="228"/>
      <c r="U334" s="55">
        <f t="shared" si="4"/>
        <v>1.3008627290504997</v>
      </c>
    </row>
    <row r="335" spans="1:21" s="219" customFormat="1" ht="16.5" customHeight="1">
      <c r="A335" s="262">
        <f>A332+1</f>
        <v>5</v>
      </c>
      <c r="B335" s="204" t="s">
        <v>160</v>
      </c>
      <c r="C335" s="523" t="s">
        <v>235</v>
      </c>
      <c r="D335" s="205" t="s">
        <v>31</v>
      </c>
      <c r="E335" s="296">
        <f>1.12/4*17/100</f>
        <v>4.7600000000000003E-2</v>
      </c>
      <c r="F335" s="207"/>
      <c r="G335" s="208">
        <v>56.2</v>
      </c>
      <c r="H335" s="207"/>
      <c r="I335" s="222"/>
      <c r="J335" s="275">
        <v>0</v>
      </c>
      <c r="K335" s="223"/>
      <c r="L335" s="212"/>
      <c r="M335" s="213"/>
      <c r="N335" s="214"/>
      <c r="O335" s="214"/>
      <c r="P335" s="215"/>
      <c r="Q335" s="216"/>
      <c r="R335" s="217">
        <f>G336+J336</f>
        <v>97.605912000000018</v>
      </c>
      <c r="S335" s="533"/>
      <c r="T335" s="218"/>
      <c r="U335" s="55">
        <f t="shared" si="4"/>
        <v>1.3008627290504997</v>
      </c>
    </row>
    <row r="336" spans="1:21" s="219" customFormat="1" ht="15.75" customHeight="1">
      <c r="A336" s="220"/>
      <c r="B336" s="204" t="s">
        <v>125</v>
      </c>
      <c r="C336" s="524"/>
      <c r="D336" s="205"/>
      <c r="E336" s="221"/>
      <c r="F336" s="207"/>
      <c r="G336" s="210">
        <f>G335*$J$13/1000</f>
        <v>97.605912000000018</v>
      </c>
      <c r="H336" s="207"/>
      <c r="I336" s="222"/>
      <c r="J336" s="210">
        <f>J335*$Q$6/1000</f>
        <v>0</v>
      </c>
      <c r="K336" s="223"/>
      <c r="L336" s="224"/>
      <c r="M336" s="225"/>
      <c r="N336" s="226"/>
      <c r="O336" s="226"/>
      <c r="P336" s="207"/>
      <c r="Q336" s="227"/>
      <c r="R336" s="221"/>
      <c r="S336" s="534"/>
      <c r="T336" s="228"/>
      <c r="U336" s="55">
        <f t="shared" si="4"/>
        <v>1.3008627290504997</v>
      </c>
    </row>
    <row r="337" spans="1:24" s="219" customFormat="1" ht="12.75" customHeight="1">
      <c r="A337" s="229"/>
      <c r="B337" s="230"/>
      <c r="C337" s="231"/>
      <c r="D337" s="232"/>
      <c r="E337" s="233"/>
      <c r="F337" s="234"/>
      <c r="G337" s="235"/>
      <c r="H337" s="234"/>
      <c r="I337" s="236"/>
      <c r="J337" s="235"/>
      <c r="K337" s="237"/>
      <c r="L337" s="238"/>
      <c r="M337" s="239"/>
      <c r="N337" s="240"/>
      <c r="O337" s="240"/>
      <c r="P337" s="241"/>
      <c r="Q337" s="227"/>
      <c r="R337" s="221"/>
      <c r="S337" s="221"/>
      <c r="T337" s="228"/>
      <c r="U337" s="55">
        <f t="shared" si="4"/>
        <v>1.3008627290504997</v>
      </c>
    </row>
    <row r="338" spans="1:24" s="219" customFormat="1" ht="12.75" customHeight="1">
      <c r="A338" s="262">
        <f>A335+1</f>
        <v>6</v>
      </c>
      <c r="B338" s="242" t="s">
        <v>261</v>
      </c>
      <c r="C338" s="523" t="s">
        <v>281</v>
      </c>
      <c r="D338" s="243" t="s">
        <v>35</v>
      </c>
      <c r="E338" s="263">
        <f>0.08/4*17</f>
        <v>0.34</v>
      </c>
      <c r="F338" s="245"/>
      <c r="G338" s="210">
        <v>7.43</v>
      </c>
      <c r="H338" s="245"/>
      <c r="I338" s="209"/>
      <c r="J338" s="210">
        <v>3.36</v>
      </c>
      <c r="K338" s="211"/>
      <c r="L338" s="264"/>
      <c r="M338" s="265"/>
      <c r="N338" s="266"/>
      <c r="O338" s="266"/>
      <c r="P338" s="245"/>
      <c r="Q338" s="267"/>
      <c r="R338" s="217">
        <f>G339+J339</f>
        <v>21.757088400000001</v>
      </c>
      <c r="S338" s="550"/>
      <c r="T338" s="525"/>
      <c r="U338" s="55">
        <f t="shared" si="4"/>
        <v>1.3008627290504997</v>
      </c>
    </row>
    <row r="339" spans="1:24" s="219" customFormat="1" ht="12" customHeight="1">
      <c r="A339" s="220"/>
      <c r="B339" s="249"/>
      <c r="C339" s="524"/>
      <c r="D339" s="250"/>
      <c r="E339" s="221"/>
      <c r="F339" s="241"/>
      <c r="G339" s="210">
        <f>G338*$J$13/1000</f>
        <v>12.9041268</v>
      </c>
      <c r="H339" s="241"/>
      <c r="I339" s="222"/>
      <c r="J339" s="210">
        <f>J338*$Q$13/1000</f>
        <v>8.8529615999999987</v>
      </c>
      <c r="K339" s="223"/>
      <c r="L339" s="268"/>
      <c r="M339" s="269"/>
      <c r="N339" s="270"/>
      <c r="O339" s="271"/>
      <c r="P339" s="272"/>
      <c r="Q339" s="273"/>
      <c r="R339" s="521">
        <f>SUM(Q339:Q343)</f>
        <v>53.991140422277532</v>
      </c>
      <c r="S339" s="551"/>
      <c r="T339" s="526"/>
      <c r="U339" s="55">
        <f t="shared" si="4"/>
        <v>1.3008627290504997</v>
      </c>
    </row>
    <row r="340" spans="1:24" s="219" customFormat="1" ht="12.75" hidden="1" customHeight="1">
      <c r="A340" s="220"/>
      <c r="B340" s="274"/>
      <c r="C340" s="524"/>
      <c r="D340" s="250"/>
      <c r="E340" s="221"/>
      <c r="F340" s="241"/>
      <c r="G340" s="275"/>
      <c r="H340" s="241"/>
      <c r="I340" s="222"/>
      <c r="J340" s="275"/>
      <c r="K340" s="223"/>
      <c r="L340" s="276" t="s">
        <v>65</v>
      </c>
      <c r="M340" s="277" t="s">
        <v>35</v>
      </c>
      <c r="N340" s="278">
        <v>1.0149999999999999</v>
      </c>
      <c r="O340" s="279">
        <f>E338*N340</f>
        <v>0.34510000000000002</v>
      </c>
      <c r="P340" s="280">
        <v>29</v>
      </c>
      <c r="Q340" s="281">
        <f>N340*P340*$N$11</f>
        <v>33.596069944500009</v>
      </c>
      <c r="R340" s="522"/>
      <c r="S340" s="551"/>
      <c r="T340" s="526"/>
      <c r="U340" s="55">
        <f t="shared" si="4"/>
        <v>1.3008627290504997</v>
      </c>
    </row>
    <row r="341" spans="1:24" s="219" customFormat="1" ht="12.75" hidden="1" customHeight="1">
      <c r="A341" s="220"/>
      <c r="B341" s="274"/>
      <c r="C341" s="524"/>
      <c r="D341" s="250"/>
      <c r="E341" s="221"/>
      <c r="F341" s="241"/>
      <c r="G341" s="275"/>
      <c r="H341" s="241"/>
      <c r="I341" s="222"/>
      <c r="J341" s="275"/>
      <c r="K341" s="223"/>
      <c r="L341" s="276" t="s">
        <v>36</v>
      </c>
      <c r="M341" s="277" t="s">
        <v>37</v>
      </c>
      <c r="N341" s="278">
        <v>2.42</v>
      </c>
      <c r="O341" s="279">
        <f>E338*N341</f>
        <v>0.82280000000000009</v>
      </c>
      <c r="P341" s="280">
        <v>3.5</v>
      </c>
      <c r="Q341" s="281">
        <f>N341*P341*$N$11</f>
        <v>9.6673590090000001</v>
      </c>
      <c r="R341" s="522"/>
      <c r="S341" s="551"/>
      <c r="T341" s="526"/>
      <c r="U341" s="55">
        <f t="shared" si="4"/>
        <v>1.3008627290504997</v>
      </c>
    </row>
    <row r="342" spans="1:24" s="219" customFormat="1" ht="12.75" hidden="1" customHeight="1">
      <c r="A342" s="220"/>
      <c r="B342" s="274"/>
      <c r="C342" s="524"/>
      <c r="D342" s="250"/>
      <c r="E342" s="221"/>
      <c r="F342" s="241"/>
      <c r="G342" s="275"/>
      <c r="H342" s="241"/>
      <c r="I342" s="222"/>
      <c r="J342" s="275"/>
      <c r="K342" s="223"/>
      <c r="L342" s="282" t="s">
        <v>38</v>
      </c>
      <c r="M342" s="283" t="s">
        <v>35</v>
      </c>
      <c r="N342" s="284">
        <f>0.0581+0.0067</f>
        <v>6.4799999999999996E-2</v>
      </c>
      <c r="O342" s="285">
        <f>E338*N342</f>
        <v>2.2032E-2</v>
      </c>
      <c r="P342" s="286">
        <v>122.917</v>
      </c>
      <c r="Q342" s="287">
        <f>N342*P342*$N$11</f>
        <v>9.0909944889775218</v>
      </c>
      <c r="R342" s="522"/>
      <c r="S342" s="551"/>
      <c r="T342" s="526"/>
      <c r="U342" s="55">
        <f t="shared" ref="U342:U405" si="5">1.133*1.11*1.01*1.009*1.015</f>
        <v>1.3008627290504997</v>
      </c>
    </row>
    <row r="343" spans="1:24" s="219" customFormat="1" ht="12.75" hidden="1" customHeight="1">
      <c r="A343" s="220"/>
      <c r="B343" s="274"/>
      <c r="C343" s="289"/>
      <c r="D343" s="250"/>
      <c r="E343" s="221"/>
      <c r="F343" s="241"/>
      <c r="G343" s="275"/>
      <c r="H343" s="241"/>
      <c r="I343" s="222"/>
      <c r="J343" s="275"/>
      <c r="K343" s="223"/>
      <c r="L343" s="282" t="s">
        <v>246</v>
      </c>
      <c r="M343" s="283" t="s">
        <v>39</v>
      </c>
      <c r="N343" s="290">
        <v>1.5</v>
      </c>
      <c r="O343" s="285">
        <f>E338*N343</f>
        <v>0.51</v>
      </c>
      <c r="P343" s="286">
        <v>0.95599999999999996</v>
      </c>
      <c r="Q343" s="287">
        <f>N343*P343*$N$11</f>
        <v>1.6367169798000003</v>
      </c>
      <c r="R343" s="221"/>
      <c r="S343" s="221"/>
      <c r="T343" s="291"/>
      <c r="U343" s="55">
        <f t="shared" si="5"/>
        <v>1.3008627290504997</v>
      </c>
    </row>
    <row r="344" spans="1:24" s="219" customFormat="1" ht="12.75" customHeight="1">
      <c r="A344" s="229"/>
      <c r="B344" s="230"/>
      <c r="C344" s="231"/>
      <c r="D344" s="232"/>
      <c r="E344" s="233"/>
      <c r="F344" s="234"/>
      <c r="G344" s="235"/>
      <c r="H344" s="234"/>
      <c r="I344" s="236"/>
      <c r="J344" s="235"/>
      <c r="K344" s="237"/>
      <c r="L344" s="256"/>
      <c r="M344" s="257"/>
      <c r="N344" s="288"/>
      <c r="O344" s="288"/>
      <c r="P344" s="234"/>
      <c r="Q344" s="260"/>
      <c r="R344" s="233"/>
      <c r="S344" s="233"/>
      <c r="T344" s="261"/>
      <c r="U344" s="55">
        <f t="shared" si="5"/>
        <v>1.3008627290504997</v>
      </c>
    </row>
    <row r="345" spans="1:24" s="117" customFormat="1" ht="12.75" customHeight="1">
      <c r="A345" s="262">
        <f>A338+1</f>
        <v>7</v>
      </c>
      <c r="B345" s="546" t="s">
        <v>263</v>
      </c>
      <c r="C345" s="548" t="s">
        <v>264</v>
      </c>
      <c r="D345" s="188" t="s">
        <v>33</v>
      </c>
      <c r="E345" s="121">
        <f>10/1000/4*17</f>
        <v>4.2500000000000003E-2</v>
      </c>
      <c r="F345" s="189"/>
      <c r="G345" s="194">
        <v>0</v>
      </c>
      <c r="H345" s="189"/>
      <c r="I345" s="123"/>
      <c r="J345" s="130">
        <v>0</v>
      </c>
      <c r="K345" s="124"/>
      <c r="L345" s="298"/>
      <c r="M345" s="299"/>
      <c r="N345" s="300"/>
      <c r="O345" s="300"/>
      <c r="P345" s="106"/>
      <c r="Q345" s="114"/>
      <c r="R345" s="115">
        <f>G346+J346</f>
        <v>0</v>
      </c>
      <c r="S345" s="533"/>
      <c r="T345" s="552"/>
      <c r="U345" s="55">
        <f t="shared" si="5"/>
        <v>1.3008627290504997</v>
      </c>
      <c r="V345" s="185"/>
      <c r="W345" s="185"/>
      <c r="X345" s="185"/>
    </row>
    <row r="346" spans="1:24" s="117" customFormat="1" ht="12.75" customHeight="1">
      <c r="A346" s="118"/>
      <c r="B346" s="547"/>
      <c r="C346" s="549"/>
      <c r="D346" s="188"/>
      <c r="E346" s="121"/>
      <c r="F346" s="189"/>
      <c r="G346" s="107">
        <f>G345*$J$12/1000</f>
        <v>0</v>
      </c>
      <c r="H346" s="189"/>
      <c r="I346" s="123"/>
      <c r="J346" s="107">
        <f>J345*$Q$12/1000</f>
        <v>0</v>
      </c>
      <c r="K346" s="124"/>
      <c r="L346" s="369" t="s">
        <v>264</v>
      </c>
      <c r="M346" s="370" t="s">
        <v>33</v>
      </c>
      <c r="N346" s="371">
        <v>1</v>
      </c>
      <c r="O346" s="372">
        <f>E345*N346</f>
        <v>4.2500000000000003E-2</v>
      </c>
      <c r="P346" s="373">
        <v>291.66699999999997</v>
      </c>
      <c r="Q346" s="255">
        <f>N346*P346*$N$11</f>
        <v>332.89841795490003</v>
      </c>
      <c r="R346" s="121">
        <f>SUM(Q346:Q346)</f>
        <v>332.89841795490003</v>
      </c>
      <c r="S346" s="534"/>
      <c r="T346" s="553"/>
      <c r="U346" s="55">
        <f t="shared" si="5"/>
        <v>1.3008627290504997</v>
      </c>
      <c r="V346" s="185"/>
      <c r="W346" s="185"/>
      <c r="X346" s="185"/>
    </row>
    <row r="347" spans="1:24" s="117" customFormat="1" ht="12.75" customHeight="1">
      <c r="A347" s="131"/>
      <c r="B347" s="132"/>
      <c r="C347" s="133"/>
      <c r="D347" s="134"/>
      <c r="E347" s="135"/>
      <c r="F347" s="136"/>
      <c r="G347" s="137"/>
      <c r="H347" s="136"/>
      <c r="I347" s="138"/>
      <c r="J347" s="137"/>
      <c r="K347" s="139"/>
      <c r="L347" s="125"/>
      <c r="M347" s="126"/>
      <c r="N347" s="127"/>
      <c r="O347" s="127"/>
      <c r="P347" s="122"/>
      <c r="Q347" s="128"/>
      <c r="R347" s="121"/>
      <c r="S347" s="121"/>
      <c r="T347" s="129"/>
      <c r="U347" s="55">
        <f t="shared" si="5"/>
        <v>1.3008627290504997</v>
      </c>
      <c r="V347" s="185"/>
      <c r="W347" s="185"/>
      <c r="X347" s="185"/>
    </row>
    <row r="348" spans="1:24" s="117" customFormat="1" ht="12.75" customHeight="1">
      <c r="A348" s="262">
        <f>A345+1</f>
        <v>8</v>
      </c>
      <c r="B348" s="546" t="s">
        <v>265</v>
      </c>
      <c r="C348" s="548" t="s">
        <v>267</v>
      </c>
      <c r="D348" s="188" t="s">
        <v>33</v>
      </c>
      <c r="E348" s="121">
        <f>9.5/1000/4*17</f>
        <v>4.0375000000000001E-2</v>
      </c>
      <c r="F348" s="189"/>
      <c r="G348" s="194">
        <v>0</v>
      </c>
      <c r="H348" s="189"/>
      <c r="I348" s="123"/>
      <c r="J348" s="130">
        <v>0</v>
      </c>
      <c r="K348" s="124"/>
      <c r="L348" s="298"/>
      <c r="M348" s="299"/>
      <c r="N348" s="300"/>
      <c r="O348" s="300"/>
      <c r="P348" s="106"/>
      <c r="Q348" s="114"/>
      <c r="R348" s="115">
        <f>G349+J349</f>
        <v>0</v>
      </c>
      <c r="S348" s="533"/>
      <c r="T348" s="552"/>
      <c r="U348" s="55">
        <f t="shared" si="5"/>
        <v>1.3008627290504997</v>
      </c>
      <c r="V348" s="185"/>
      <c r="W348" s="185"/>
      <c r="X348" s="185"/>
    </row>
    <row r="349" spans="1:24" s="117" customFormat="1" ht="12.75" customHeight="1">
      <c r="A349" s="118"/>
      <c r="B349" s="547"/>
      <c r="C349" s="549"/>
      <c r="D349" s="188"/>
      <c r="E349" s="121"/>
      <c r="F349" s="189"/>
      <c r="G349" s="107">
        <f>G348*$J$12/1000</f>
        <v>0</v>
      </c>
      <c r="H349" s="189"/>
      <c r="I349" s="123"/>
      <c r="J349" s="107">
        <f>J348*$Q$12/1000</f>
        <v>0</v>
      </c>
      <c r="K349" s="124"/>
      <c r="L349" s="369" t="s">
        <v>266</v>
      </c>
      <c r="M349" s="370" t="s">
        <v>33</v>
      </c>
      <c r="N349" s="371">
        <v>1</v>
      </c>
      <c r="O349" s="372">
        <f>E348*N349</f>
        <v>4.0375000000000001E-2</v>
      </c>
      <c r="P349" s="373">
        <v>297.22199999999998</v>
      </c>
      <c r="Q349" s="255">
        <f>N349*P349*$N$11</f>
        <v>339.23869886340003</v>
      </c>
      <c r="R349" s="121">
        <f>SUM(Q349:Q349)</f>
        <v>339.23869886340003</v>
      </c>
      <c r="S349" s="534"/>
      <c r="T349" s="553"/>
      <c r="U349" s="55">
        <f t="shared" si="5"/>
        <v>1.3008627290504997</v>
      </c>
      <c r="V349" s="185"/>
      <c r="W349" s="185"/>
      <c r="X349" s="185"/>
    </row>
    <row r="350" spans="1:24" s="117" customFormat="1" ht="12.75" customHeight="1">
      <c r="A350" s="131"/>
      <c r="B350" s="132"/>
      <c r="C350" s="133"/>
      <c r="D350" s="134"/>
      <c r="E350" s="135"/>
      <c r="F350" s="136"/>
      <c r="G350" s="137"/>
      <c r="H350" s="136"/>
      <c r="I350" s="138"/>
      <c r="J350" s="137"/>
      <c r="K350" s="139"/>
      <c r="L350" s="125"/>
      <c r="M350" s="126"/>
      <c r="N350" s="127"/>
      <c r="O350" s="127"/>
      <c r="P350" s="122"/>
      <c r="Q350" s="128"/>
      <c r="R350" s="121"/>
      <c r="S350" s="121"/>
      <c r="T350" s="129"/>
      <c r="U350" s="55">
        <f t="shared" si="5"/>
        <v>1.3008627290504997</v>
      </c>
      <c r="V350" s="185"/>
      <c r="W350" s="185"/>
      <c r="X350" s="185"/>
    </row>
    <row r="351" spans="1:24" s="117" customFormat="1" ht="12.75" customHeight="1">
      <c r="A351" s="102">
        <f>A348+1</f>
        <v>9</v>
      </c>
      <c r="B351" s="103" t="s">
        <v>276</v>
      </c>
      <c r="C351" s="548" t="s">
        <v>269</v>
      </c>
      <c r="D351" s="104" t="s">
        <v>35</v>
      </c>
      <c r="E351" s="105">
        <f>1.52/4*17</f>
        <v>6.46</v>
      </c>
      <c r="F351" s="106"/>
      <c r="G351" s="107">
        <v>2.9</v>
      </c>
      <c r="H351" s="106"/>
      <c r="I351" s="108"/>
      <c r="J351" s="107">
        <v>0.95</v>
      </c>
      <c r="K351" s="109"/>
      <c r="L351" s="298"/>
      <c r="M351" s="299"/>
      <c r="N351" s="300"/>
      <c r="O351" s="301"/>
      <c r="P351" s="106"/>
      <c r="Q351" s="349"/>
      <c r="R351" s="115">
        <f>G352+J352</f>
        <v>7.5396735000000001</v>
      </c>
      <c r="S351" s="550"/>
      <c r="T351" s="552"/>
      <c r="U351" s="55">
        <f t="shared" si="5"/>
        <v>1.3008627290504997</v>
      </c>
      <c r="V351" s="185"/>
      <c r="W351" s="185"/>
      <c r="X351" s="185"/>
    </row>
    <row r="352" spans="1:24" s="117" customFormat="1" ht="12.75" customHeight="1">
      <c r="A352" s="118"/>
      <c r="B352" s="302"/>
      <c r="C352" s="549"/>
      <c r="D352" s="120"/>
      <c r="E352" s="121"/>
      <c r="F352" s="122"/>
      <c r="G352" s="107">
        <f>G351*$J$13/1000</f>
        <v>5.0366040000000005</v>
      </c>
      <c r="H352" s="122"/>
      <c r="I352" s="123"/>
      <c r="J352" s="107">
        <f>J351*$Q$13/1000</f>
        <v>2.5030694999999996</v>
      </c>
      <c r="K352" s="124"/>
      <c r="L352" s="303" t="s">
        <v>268</v>
      </c>
      <c r="M352" s="304" t="s">
        <v>35</v>
      </c>
      <c r="N352" s="305">
        <v>0.92</v>
      </c>
      <c r="O352" s="305">
        <f>E351*N352</f>
        <v>5.9432</v>
      </c>
      <c r="P352" s="306">
        <v>10</v>
      </c>
      <c r="Q352" s="374">
        <f>N352*P352*$N$11</f>
        <v>10.500555240000004</v>
      </c>
      <c r="R352" s="550">
        <f>SUM(Q352:Q353)</f>
        <v>15.225805098000006</v>
      </c>
      <c r="S352" s="551"/>
      <c r="T352" s="553"/>
      <c r="U352" s="55">
        <f t="shared" si="5"/>
        <v>1.3008627290504997</v>
      </c>
      <c r="V352" s="185"/>
      <c r="W352" s="185"/>
      <c r="X352" s="185"/>
    </row>
    <row r="353" spans="1:24" s="117" customFormat="1" ht="16.5" hidden="1" customHeight="1">
      <c r="A353" s="118"/>
      <c r="B353" s="119"/>
      <c r="C353" s="549"/>
      <c r="D353" s="120"/>
      <c r="E353" s="121"/>
      <c r="F353" s="122"/>
      <c r="G353" s="130"/>
      <c r="H353" s="122"/>
      <c r="I353" s="123"/>
      <c r="J353" s="130"/>
      <c r="K353" s="124"/>
      <c r="L353" s="310" t="s">
        <v>40</v>
      </c>
      <c r="M353" s="375" t="s">
        <v>35</v>
      </c>
      <c r="N353" s="376">
        <f>0.11+0.07</f>
        <v>0.18</v>
      </c>
      <c r="O353" s="376">
        <f>E351*N353</f>
        <v>1.1628000000000001</v>
      </c>
      <c r="P353" s="313">
        <v>23</v>
      </c>
      <c r="Q353" s="377">
        <f>N353*P353*$N$11</f>
        <v>4.7252498580000006</v>
      </c>
      <c r="R353" s="551"/>
      <c r="S353" s="551"/>
      <c r="T353" s="553"/>
      <c r="U353" s="55">
        <f t="shared" si="5"/>
        <v>1.3008627290504997</v>
      </c>
      <c r="V353" s="185"/>
      <c r="W353" s="185"/>
      <c r="X353" s="185"/>
    </row>
    <row r="354" spans="1:24" s="117" customFormat="1" ht="4.5" hidden="1" customHeight="1">
      <c r="A354" s="118"/>
      <c r="B354" s="119"/>
      <c r="C354" s="549"/>
      <c r="D354" s="120"/>
      <c r="E354" s="121"/>
      <c r="F354" s="122"/>
      <c r="G354" s="130"/>
      <c r="H354" s="122"/>
      <c r="I354" s="123"/>
      <c r="J354" s="130"/>
      <c r="K354" s="124"/>
      <c r="L354" s="125"/>
      <c r="M354" s="378"/>
      <c r="N354" s="379"/>
      <c r="O354" s="380"/>
      <c r="P354" s="122"/>
      <c r="Q354" s="128"/>
      <c r="R354" s="121"/>
      <c r="S354" s="121"/>
      <c r="T354" s="129"/>
      <c r="U354" s="55">
        <f t="shared" si="5"/>
        <v>1.3008627290504997</v>
      </c>
      <c r="V354" s="185"/>
      <c r="W354" s="185"/>
      <c r="X354" s="185"/>
    </row>
    <row r="355" spans="1:24" s="117" customFormat="1" ht="10.5" customHeight="1">
      <c r="A355" s="131"/>
      <c r="B355" s="132"/>
      <c r="C355" s="133"/>
      <c r="D355" s="134"/>
      <c r="E355" s="135"/>
      <c r="F355" s="136"/>
      <c r="G355" s="137"/>
      <c r="H355" s="136"/>
      <c r="I355" s="138"/>
      <c r="J355" s="137"/>
      <c r="K355" s="139"/>
      <c r="L355" s="140"/>
      <c r="M355" s="381"/>
      <c r="N355" s="382"/>
      <c r="O355" s="383"/>
      <c r="P355" s="136"/>
      <c r="Q355" s="143"/>
      <c r="R355" s="135"/>
      <c r="S355" s="135"/>
      <c r="T355" s="144"/>
      <c r="U355" s="55">
        <f t="shared" si="5"/>
        <v>1.3008627290504997</v>
      </c>
      <c r="V355" s="185"/>
      <c r="W355" s="185"/>
      <c r="X355" s="185"/>
    </row>
    <row r="356" spans="1:24" s="117" customFormat="1" ht="12.75" customHeight="1">
      <c r="A356" s="102">
        <f>A351+1</f>
        <v>10</v>
      </c>
      <c r="B356" s="546" t="s">
        <v>272</v>
      </c>
      <c r="C356" s="548" t="s">
        <v>271</v>
      </c>
      <c r="D356" s="188" t="s">
        <v>35</v>
      </c>
      <c r="E356" s="121">
        <f>0.012/4*17</f>
        <v>5.1000000000000004E-2</v>
      </c>
      <c r="F356" s="189"/>
      <c r="G356" s="194">
        <v>2.62</v>
      </c>
      <c r="H356" s="189"/>
      <c r="I356" s="123"/>
      <c r="J356" s="130">
        <v>0.99</v>
      </c>
      <c r="K356" s="124"/>
      <c r="L356" s="298"/>
      <c r="M356" s="299"/>
      <c r="N356" s="300"/>
      <c r="O356" s="300"/>
      <c r="P356" s="106"/>
      <c r="Q356" s="349"/>
      <c r="R356" s="115">
        <f>G357+J357</f>
        <v>7.1587731000000003</v>
      </c>
      <c r="S356" s="550"/>
      <c r="T356" s="552"/>
      <c r="U356" s="55">
        <f t="shared" si="5"/>
        <v>1.3008627290504997</v>
      </c>
      <c r="V356" s="185"/>
      <c r="W356" s="185"/>
      <c r="X356" s="185"/>
    </row>
    <row r="357" spans="1:24" s="117" customFormat="1" ht="11.25" customHeight="1">
      <c r="A357" s="118"/>
      <c r="B357" s="547"/>
      <c r="C357" s="549"/>
      <c r="D357" s="188"/>
      <c r="E357" s="121"/>
      <c r="F357" s="189"/>
      <c r="G357" s="107">
        <f>G356*$J$13/1000</f>
        <v>4.5503112000000003</v>
      </c>
      <c r="H357" s="122"/>
      <c r="I357" s="123"/>
      <c r="J357" s="107">
        <f>J356*$Q$13/1000</f>
        <v>2.6084619</v>
      </c>
      <c r="K357" s="124"/>
      <c r="L357" s="303"/>
      <c r="M357" s="308"/>
      <c r="N357" s="309"/>
      <c r="O357" s="384"/>
      <c r="P357" s="306"/>
      <c r="Q357" s="374"/>
      <c r="R357" s="550">
        <f>SUM(Q357:Q360)</f>
        <v>33.596069944500009</v>
      </c>
      <c r="S357" s="551"/>
      <c r="T357" s="553"/>
      <c r="U357" s="55">
        <f t="shared" si="5"/>
        <v>1.3008627290504997</v>
      </c>
      <c r="V357" s="185"/>
      <c r="W357" s="185"/>
      <c r="X357" s="185"/>
    </row>
    <row r="358" spans="1:24" s="117" customFormat="1" ht="12.75" hidden="1" customHeight="1">
      <c r="A358" s="118"/>
      <c r="B358" s="187" t="s">
        <v>270</v>
      </c>
      <c r="C358" s="549"/>
      <c r="D358" s="188"/>
      <c r="E358" s="121"/>
      <c r="F358" s="189"/>
      <c r="G358" s="194"/>
      <c r="H358" s="189"/>
      <c r="I358" s="123"/>
      <c r="J358" s="130"/>
      <c r="K358" s="124"/>
      <c r="L358" s="385" t="s">
        <v>262</v>
      </c>
      <c r="M358" s="386" t="s">
        <v>35</v>
      </c>
      <c r="N358" s="387">
        <v>1.0149999999999999</v>
      </c>
      <c r="O358" s="388">
        <f>E356*N358</f>
        <v>5.1764999999999999E-2</v>
      </c>
      <c r="P358" s="389">
        <v>29</v>
      </c>
      <c r="Q358" s="281">
        <f t="shared" ref="Q358" si="6">N358*P358*$N$11</f>
        <v>33.596069944500009</v>
      </c>
      <c r="R358" s="551"/>
      <c r="S358" s="551"/>
      <c r="T358" s="553"/>
      <c r="U358" s="55">
        <f t="shared" si="5"/>
        <v>1.3008627290504997</v>
      </c>
      <c r="V358" s="185"/>
      <c r="W358" s="185"/>
      <c r="X358" s="185"/>
    </row>
    <row r="359" spans="1:24" s="117" customFormat="1" ht="12.75" hidden="1" customHeight="1">
      <c r="A359" s="118"/>
      <c r="C359" s="549"/>
      <c r="D359" s="188"/>
      <c r="E359" s="121"/>
      <c r="F359" s="189"/>
      <c r="G359" s="194"/>
      <c r="H359" s="189"/>
      <c r="I359" s="123"/>
      <c r="J359" s="130"/>
      <c r="K359" s="124"/>
      <c r="L359" s="385"/>
      <c r="M359" s="386"/>
      <c r="N359" s="387"/>
      <c r="O359" s="388"/>
      <c r="P359" s="389"/>
      <c r="Q359" s="281"/>
      <c r="R359" s="551"/>
      <c r="S359" s="551"/>
      <c r="T359" s="553"/>
      <c r="U359" s="55">
        <f t="shared" si="5"/>
        <v>1.3008627290504997</v>
      </c>
      <c r="V359" s="185"/>
      <c r="W359" s="185"/>
      <c r="X359" s="185"/>
    </row>
    <row r="360" spans="1:24" s="117" customFormat="1" ht="12.75" hidden="1" customHeight="1">
      <c r="A360" s="118"/>
      <c r="C360" s="549"/>
      <c r="D360" s="188"/>
      <c r="E360" s="121"/>
      <c r="F360" s="189"/>
      <c r="G360" s="194"/>
      <c r="H360" s="189"/>
      <c r="I360" s="123"/>
      <c r="J360" s="130"/>
      <c r="K360" s="124"/>
      <c r="L360" s="310"/>
      <c r="M360" s="311"/>
      <c r="N360" s="312"/>
      <c r="O360" s="390"/>
      <c r="P360" s="313"/>
      <c r="Q360" s="281"/>
      <c r="R360" s="551"/>
      <c r="S360" s="551"/>
      <c r="T360" s="553"/>
      <c r="U360" s="55">
        <f t="shared" si="5"/>
        <v>1.3008627290504997</v>
      </c>
      <c r="V360" s="185"/>
      <c r="W360" s="185"/>
      <c r="X360" s="185"/>
    </row>
    <row r="361" spans="1:24" s="117" customFormat="1" ht="6.75" customHeight="1">
      <c r="A361" s="131"/>
      <c r="B361" s="132"/>
      <c r="C361" s="133"/>
      <c r="D361" s="134"/>
      <c r="E361" s="135"/>
      <c r="F361" s="136"/>
      <c r="G361" s="137"/>
      <c r="H361" s="136"/>
      <c r="I361" s="138"/>
      <c r="J361" s="137"/>
      <c r="K361" s="139"/>
      <c r="L361" s="125"/>
      <c r="M361" s="126"/>
      <c r="N361" s="127"/>
      <c r="O361" s="127"/>
      <c r="P361" s="122"/>
      <c r="Q361" s="128"/>
      <c r="R361" s="121"/>
      <c r="S361" s="121"/>
      <c r="T361" s="129"/>
      <c r="U361" s="55">
        <f t="shared" si="5"/>
        <v>1.3008627290504997</v>
      </c>
      <c r="V361" s="185"/>
      <c r="W361" s="185"/>
      <c r="X361" s="185"/>
    </row>
    <row r="362" spans="1:24" s="117" customFormat="1" ht="12.75" customHeight="1">
      <c r="A362" s="102">
        <f>A356+1</f>
        <v>11</v>
      </c>
      <c r="B362" s="554" t="s">
        <v>236</v>
      </c>
      <c r="C362" s="548" t="s">
        <v>273</v>
      </c>
      <c r="D362" s="104" t="s">
        <v>42</v>
      </c>
      <c r="E362" s="297">
        <f>16/4*17/100</f>
        <v>0.68</v>
      </c>
      <c r="F362" s="106"/>
      <c r="G362" s="107">
        <v>46.4</v>
      </c>
      <c r="H362" s="106"/>
      <c r="I362" s="108"/>
      <c r="J362" s="107">
        <v>6.8</v>
      </c>
      <c r="K362" s="109"/>
      <c r="L362" s="298"/>
      <c r="M362" s="299"/>
      <c r="N362" s="300"/>
      <c r="O362" s="301"/>
      <c r="P362" s="106"/>
      <c r="Q362" s="114"/>
      <c r="R362" s="115">
        <f>G363+J363</f>
        <v>98.502372000000008</v>
      </c>
      <c r="S362" s="533"/>
      <c r="T362" s="552"/>
      <c r="U362" s="55">
        <f t="shared" si="5"/>
        <v>1.3008627290504997</v>
      </c>
    </row>
    <row r="363" spans="1:24" s="117" customFormat="1" ht="12" customHeight="1">
      <c r="A363" s="118"/>
      <c r="B363" s="555"/>
      <c r="C363" s="556"/>
      <c r="D363" s="120"/>
      <c r="E363" s="348"/>
      <c r="F363" s="122"/>
      <c r="G363" s="107">
        <f>G362*$J$13/1000</f>
        <v>80.585664000000008</v>
      </c>
      <c r="H363" s="122"/>
      <c r="I363" s="123"/>
      <c r="J363" s="107">
        <f>J362*$Q$13/1000</f>
        <v>17.916708</v>
      </c>
      <c r="K363" s="124"/>
      <c r="L363" s="369" t="s">
        <v>40</v>
      </c>
      <c r="M363" s="370" t="s">
        <v>35</v>
      </c>
      <c r="N363" s="371">
        <f>1.66+0.21</f>
        <v>1.8699999999999999</v>
      </c>
      <c r="O363" s="371">
        <f>E362*N363</f>
        <v>1.2716000000000001</v>
      </c>
      <c r="P363" s="373">
        <v>23</v>
      </c>
      <c r="Q363" s="294">
        <f t="shared" ref="Q363" si="7">N363*P363*$N$11</f>
        <v>49.090095747000007</v>
      </c>
      <c r="R363" s="121">
        <f>SUM(Q363:Q363)</f>
        <v>49.090095747000007</v>
      </c>
      <c r="S363" s="534"/>
      <c r="T363" s="557"/>
      <c r="U363" s="55">
        <f t="shared" si="5"/>
        <v>1.3008627290504997</v>
      </c>
    </row>
    <row r="364" spans="1:24" s="117" customFormat="1" ht="12.75" hidden="1" customHeight="1">
      <c r="A364" s="118"/>
      <c r="B364" s="558"/>
      <c r="C364" s="556"/>
      <c r="D364" s="120"/>
      <c r="E364" s="348"/>
      <c r="F364" s="122"/>
      <c r="G364" s="130"/>
      <c r="H364" s="122"/>
      <c r="I364" s="123"/>
      <c r="J364" s="130"/>
      <c r="K364" s="124"/>
      <c r="L364" s="125"/>
      <c r="M364" s="126"/>
      <c r="N364" s="127"/>
      <c r="O364" s="355"/>
      <c r="P364" s="122"/>
      <c r="Q364" s="128"/>
      <c r="R364" s="121"/>
      <c r="S364" s="121"/>
      <c r="T364" s="129"/>
      <c r="U364" s="55">
        <f t="shared" si="5"/>
        <v>1.3008627290504997</v>
      </c>
    </row>
    <row r="365" spans="1:24" s="117" customFormat="1" ht="12.75" hidden="1" customHeight="1">
      <c r="A365" s="118"/>
      <c r="B365" s="558"/>
      <c r="C365" s="556"/>
      <c r="D365" s="120"/>
      <c r="E365" s="348"/>
      <c r="F365" s="122"/>
      <c r="G365" s="130"/>
      <c r="H365" s="122"/>
      <c r="I365" s="123"/>
      <c r="J365" s="130"/>
      <c r="K365" s="124"/>
      <c r="L365" s="125"/>
      <c r="M365" s="126"/>
      <c r="N365" s="127"/>
      <c r="O365" s="355"/>
      <c r="P365" s="122"/>
      <c r="Q365" s="128"/>
      <c r="R365" s="121"/>
      <c r="S365" s="121"/>
      <c r="T365" s="129"/>
      <c r="U365" s="55">
        <f t="shared" si="5"/>
        <v>1.3008627290504997</v>
      </c>
    </row>
    <row r="366" spans="1:24" s="117" customFormat="1" ht="12.75" customHeight="1">
      <c r="A366" s="131"/>
      <c r="B366" s="132"/>
      <c r="C366" s="133"/>
      <c r="D366" s="134"/>
      <c r="E366" s="391"/>
      <c r="F366" s="136"/>
      <c r="G366" s="137"/>
      <c r="H366" s="136"/>
      <c r="I366" s="138"/>
      <c r="J366" s="137"/>
      <c r="K366" s="139"/>
      <c r="L366" s="140"/>
      <c r="M366" s="141"/>
      <c r="N366" s="142"/>
      <c r="O366" s="307"/>
      <c r="P366" s="136"/>
      <c r="Q366" s="143"/>
      <c r="R366" s="135"/>
      <c r="S366" s="135"/>
      <c r="T366" s="144"/>
      <c r="U366" s="55">
        <f t="shared" si="5"/>
        <v>1.3008627290504997</v>
      </c>
    </row>
    <row r="367" spans="1:24" s="117" customFormat="1" ht="12.75" customHeight="1">
      <c r="A367" s="145"/>
      <c r="B367" s="146"/>
      <c r="C367" s="147" t="s">
        <v>25</v>
      </c>
      <c r="D367" s="148"/>
      <c r="E367" s="149"/>
      <c r="F367" s="150"/>
      <c r="G367" s="151"/>
      <c r="H367" s="150"/>
      <c r="I367" s="152"/>
      <c r="J367" s="151"/>
      <c r="K367" s="153"/>
      <c r="L367" s="154"/>
      <c r="M367" s="155"/>
      <c r="N367" s="156"/>
      <c r="O367" s="157"/>
      <c r="P367" s="150"/>
      <c r="Q367" s="151"/>
      <c r="R367" s="157"/>
      <c r="S367" s="157"/>
      <c r="T367" s="158">
        <f>SUM(T320:T366)</f>
        <v>0</v>
      </c>
      <c r="U367" s="55">
        <f t="shared" si="5"/>
        <v>1.3008627290504997</v>
      </c>
    </row>
    <row r="368" spans="1:24" s="117" customFormat="1" ht="12.75" customHeight="1">
      <c r="A368" s="392"/>
      <c r="B368" s="146"/>
      <c r="C368" s="393"/>
      <c r="D368" s="148"/>
      <c r="E368" s="394"/>
      <c r="F368" s="150"/>
      <c r="G368" s="151"/>
      <c r="H368" s="150"/>
      <c r="I368" s="150"/>
      <c r="J368" s="151"/>
      <c r="K368" s="150"/>
      <c r="L368" s="154"/>
      <c r="M368" s="155"/>
      <c r="N368" s="156"/>
      <c r="O368" s="157"/>
      <c r="P368" s="150"/>
      <c r="Q368" s="151"/>
      <c r="R368" s="157"/>
      <c r="S368" s="157"/>
      <c r="T368" s="158"/>
      <c r="U368" s="55">
        <f t="shared" si="5"/>
        <v>1.3008627290504997</v>
      </c>
    </row>
    <row r="369" spans="1:21" ht="12.75" customHeight="1">
      <c r="A369" s="395"/>
      <c r="B369" s="396"/>
      <c r="C369" s="397" t="s">
        <v>28</v>
      </c>
      <c r="D369" s="398"/>
      <c r="E369" s="399"/>
      <c r="F369" s="400"/>
      <c r="G369" s="401"/>
      <c r="H369" s="400"/>
      <c r="I369" s="400"/>
      <c r="J369" s="401"/>
      <c r="K369" s="400"/>
      <c r="L369" s="402"/>
      <c r="M369" s="403"/>
      <c r="N369" s="404"/>
      <c r="O369" s="405"/>
      <c r="P369" s="406"/>
      <c r="Q369" s="407"/>
      <c r="R369" s="405"/>
      <c r="S369" s="405"/>
      <c r="T369" s="508">
        <f>T367+T316+T262+T222+T165+T149+T115+T81+T36</f>
        <v>0</v>
      </c>
      <c r="U369" s="55">
        <f t="shared" si="5"/>
        <v>1.3008627290504997</v>
      </c>
    </row>
    <row r="370" spans="1:21" ht="12.75" customHeight="1">
      <c r="A370" s="408"/>
      <c r="B370" s="409"/>
      <c r="C370" s="527" t="s">
        <v>208</v>
      </c>
      <c r="D370" s="410"/>
      <c r="E370" s="410"/>
      <c r="F370" s="411"/>
      <c r="G370" s="44"/>
      <c r="H370" s="412"/>
      <c r="I370" s="411"/>
      <c r="J370" s="44"/>
      <c r="K370" s="412"/>
      <c r="L370" s="410"/>
      <c r="M370" s="410"/>
      <c r="N370" s="410"/>
      <c r="O370" s="410"/>
      <c r="P370" s="410"/>
      <c r="Q370" s="410"/>
      <c r="R370" s="410"/>
      <c r="S370" s="410"/>
      <c r="T370" s="410"/>
      <c r="U370" s="55">
        <f t="shared" si="5"/>
        <v>1.3008627290504997</v>
      </c>
    </row>
    <row r="371" spans="1:21" ht="12.75" customHeight="1">
      <c r="A371" s="413"/>
      <c r="B371" s="77"/>
      <c r="C371" s="528"/>
      <c r="D371" s="414"/>
      <c r="E371" s="414"/>
      <c r="F371" s="415"/>
      <c r="G371" s="79"/>
      <c r="H371" s="416"/>
      <c r="I371" s="415"/>
      <c r="J371" s="79"/>
      <c r="K371" s="416"/>
      <c r="L371" s="414"/>
      <c r="M371" s="414"/>
      <c r="N371" s="414"/>
      <c r="O371" s="414"/>
      <c r="P371" s="414"/>
      <c r="Q371" s="414"/>
      <c r="R371" s="414"/>
      <c r="S371" s="414"/>
      <c r="T371" s="647">
        <v>5.4699999999999999E-2</v>
      </c>
      <c r="U371" s="55">
        <f t="shared" si="5"/>
        <v>1.3008627290504997</v>
      </c>
    </row>
    <row r="372" spans="1:21" ht="12.75" customHeight="1">
      <c r="A372" s="262">
        <v>1</v>
      </c>
      <c r="B372" s="204" t="s">
        <v>124</v>
      </c>
      <c r="C372" s="524" t="s">
        <v>274</v>
      </c>
      <c r="D372" s="205" t="s">
        <v>31</v>
      </c>
      <c r="E372" s="296">
        <f>14.3/100</f>
        <v>0.14300000000000002</v>
      </c>
      <c r="F372" s="207"/>
      <c r="G372" s="208">
        <v>12.1</v>
      </c>
      <c r="H372" s="207"/>
      <c r="I372" s="222"/>
      <c r="J372" s="275">
        <v>0</v>
      </c>
      <c r="K372" s="223"/>
      <c r="L372" s="212"/>
      <c r="M372" s="213"/>
      <c r="N372" s="214"/>
      <c r="O372" s="214"/>
      <c r="P372" s="215"/>
      <c r="Q372" s="216"/>
      <c r="R372" s="217">
        <f>G373+J373</f>
        <v>21.014795999999997</v>
      </c>
      <c r="S372" s="533"/>
      <c r="T372" s="218"/>
      <c r="U372" s="55">
        <f t="shared" si="5"/>
        <v>1.3008627290504997</v>
      </c>
    </row>
    <row r="373" spans="1:21" ht="12.75" customHeight="1">
      <c r="A373" s="220"/>
      <c r="B373" s="204" t="s">
        <v>125</v>
      </c>
      <c r="C373" s="524"/>
      <c r="D373" s="205"/>
      <c r="E373" s="221"/>
      <c r="F373" s="207"/>
      <c r="G373" s="210">
        <f>G372*$J$13/1000</f>
        <v>21.014795999999997</v>
      </c>
      <c r="H373" s="207"/>
      <c r="I373" s="222"/>
      <c r="J373" s="210">
        <f>J372*$Q$6/1000</f>
        <v>0</v>
      </c>
      <c r="K373" s="223"/>
      <c r="L373" s="224"/>
      <c r="M373" s="225"/>
      <c r="N373" s="226"/>
      <c r="O373" s="226"/>
      <c r="P373" s="207"/>
      <c r="Q373" s="227"/>
      <c r="R373" s="221"/>
      <c r="S373" s="534"/>
      <c r="T373" s="228"/>
      <c r="U373" s="55">
        <f t="shared" si="5"/>
        <v>1.3008627290504997</v>
      </c>
    </row>
    <row r="374" spans="1:21" ht="12.75" customHeight="1">
      <c r="A374" s="229"/>
      <c r="B374" s="230"/>
      <c r="C374" s="231"/>
      <c r="D374" s="232"/>
      <c r="E374" s="233"/>
      <c r="F374" s="234"/>
      <c r="G374" s="235"/>
      <c r="H374" s="234"/>
      <c r="I374" s="236"/>
      <c r="J374" s="235"/>
      <c r="K374" s="237"/>
      <c r="L374" s="238"/>
      <c r="M374" s="239"/>
      <c r="N374" s="240"/>
      <c r="O374" s="240"/>
      <c r="P374" s="241"/>
      <c r="Q374" s="227"/>
      <c r="R374" s="221"/>
      <c r="S374" s="221"/>
      <c r="T374" s="228"/>
      <c r="U374" s="55">
        <f t="shared" si="5"/>
        <v>1.3008627290504997</v>
      </c>
    </row>
    <row r="375" spans="1:21" ht="12.75" customHeight="1">
      <c r="A375" s="262">
        <f>A372+1</f>
        <v>2</v>
      </c>
      <c r="B375" s="204" t="s">
        <v>126</v>
      </c>
      <c r="C375" s="523" t="s">
        <v>150</v>
      </c>
      <c r="D375" s="205" t="s">
        <v>35</v>
      </c>
      <c r="E375" s="221">
        <v>4.8</v>
      </c>
      <c r="F375" s="207"/>
      <c r="G375" s="208">
        <v>0.89</v>
      </c>
      <c r="H375" s="207"/>
      <c r="I375" s="222"/>
      <c r="J375" s="275">
        <v>0</v>
      </c>
      <c r="K375" s="223"/>
      <c r="L375" s="264"/>
      <c r="M375" s="265"/>
      <c r="N375" s="266"/>
      <c r="O375" s="266"/>
      <c r="P375" s="245"/>
      <c r="Q375" s="267"/>
      <c r="R375" s="217">
        <f>G376+J376</f>
        <v>1.5457164000000001</v>
      </c>
      <c r="S375" s="533"/>
      <c r="T375" s="525"/>
      <c r="U375" s="55">
        <f t="shared" si="5"/>
        <v>1.3008627290504997</v>
      </c>
    </row>
    <row r="376" spans="1:21" ht="12" customHeight="1">
      <c r="A376" s="220"/>
      <c r="B376" s="204"/>
      <c r="C376" s="524"/>
      <c r="D376" s="205"/>
      <c r="E376" s="221"/>
      <c r="F376" s="207"/>
      <c r="G376" s="210">
        <f>G375*$J$13/1000</f>
        <v>1.5457164000000001</v>
      </c>
      <c r="H376" s="207"/>
      <c r="I376" s="222"/>
      <c r="J376" s="210">
        <f>J375*$Q$13/1000</f>
        <v>0</v>
      </c>
      <c r="K376" s="223"/>
      <c r="L376" s="417" t="s">
        <v>127</v>
      </c>
      <c r="M376" s="418" t="s">
        <v>35</v>
      </c>
      <c r="N376" s="419">
        <v>1.1000000000000001</v>
      </c>
      <c r="O376" s="420">
        <f>E375*N376</f>
        <v>5.28</v>
      </c>
      <c r="P376" s="421">
        <v>2</v>
      </c>
      <c r="Q376" s="422">
        <f>N376*P376*$N$11</f>
        <v>2.5110023400000006</v>
      </c>
      <c r="R376" s="221">
        <f>SUM(Q376:Q376)</f>
        <v>2.5110023400000006</v>
      </c>
      <c r="S376" s="534"/>
      <c r="T376" s="526"/>
      <c r="U376" s="55">
        <f t="shared" si="5"/>
        <v>1.3008627290504997</v>
      </c>
    </row>
    <row r="377" spans="1:21" ht="12.75" hidden="1" customHeight="1">
      <c r="A377" s="220"/>
      <c r="B377" s="219"/>
      <c r="C377" s="524"/>
      <c r="D377" s="205"/>
      <c r="E377" s="221"/>
      <c r="F377" s="207"/>
      <c r="G377" s="208"/>
      <c r="H377" s="207"/>
      <c r="I377" s="222"/>
      <c r="J377" s="275"/>
      <c r="K377" s="223"/>
      <c r="L377" s="224"/>
      <c r="M377" s="225"/>
      <c r="N377" s="226"/>
      <c r="O377" s="226"/>
      <c r="P377" s="207"/>
      <c r="Q377" s="227"/>
      <c r="R377" s="221"/>
      <c r="S377" s="221"/>
      <c r="T377" s="228"/>
      <c r="U377" s="55">
        <f t="shared" si="5"/>
        <v>1.3008627290504997</v>
      </c>
    </row>
    <row r="378" spans="1:21" ht="12.75" hidden="1" customHeight="1">
      <c r="A378" s="220"/>
      <c r="B378" s="219"/>
      <c r="C378" s="524"/>
      <c r="D378" s="205"/>
      <c r="E378" s="221"/>
      <c r="F378" s="207"/>
      <c r="G378" s="208"/>
      <c r="H378" s="207"/>
      <c r="I378" s="222"/>
      <c r="J378" s="275"/>
      <c r="K378" s="223"/>
      <c r="L378" s="224"/>
      <c r="M378" s="225"/>
      <c r="N378" s="226"/>
      <c r="O378" s="226"/>
      <c r="P378" s="207"/>
      <c r="Q378" s="227"/>
      <c r="R378" s="221"/>
      <c r="S378" s="221"/>
      <c r="T378" s="228"/>
      <c r="U378" s="55">
        <f t="shared" si="5"/>
        <v>1.3008627290504997</v>
      </c>
    </row>
    <row r="379" spans="1:21" ht="12" hidden="1">
      <c r="A379" s="220"/>
      <c r="B379" s="219"/>
      <c r="C379" s="524"/>
      <c r="D379" s="205"/>
      <c r="E379" s="221"/>
      <c r="F379" s="207"/>
      <c r="G379" s="208"/>
      <c r="H379" s="207"/>
      <c r="I379" s="222"/>
      <c r="J379" s="275"/>
      <c r="K379" s="223"/>
      <c r="L379" s="224"/>
      <c r="M379" s="225"/>
      <c r="N379" s="226"/>
      <c r="O379" s="226"/>
      <c r="P379" s="207"/>
      <c r="Q379" s="227"/>
      <c r="R379" s="221"/>
      <c r="S379" s="221"/>
      <c r="T379" s="228"/>
      <c r="U379" s="55">
        <f t="shared" si="5"/>
        <v>1.3008627290504997</v>
      </c>
    </row>
    <row r="380" spans="1:21">
      <c r="A380" s="229"/>
      <c r="B380" s="230"/>
      <c r="C380" s="231"/>
      <c r="D380" s="232"/>
      <c r="E380" s="233"/>
      <c r="F380" s="234"/>
      <c r="G380" s="235"/>
      <c r="H380" s="234"/>
      <c r="I380" s="236"/>
      <c r="J380" s="235"/>
      <c r="K380" s="237"/>
      <c r="L380" s="238"/>
      <c r="M380" s="239"/>
      <c r="N380" s="240"/>
      <c r="O380" s="240"/>
      <c r="P380" s="241"/>
      <c r="Q380" s="227"/>
      <c r="R380" s="221"/>
      <c r="S380" s="221"/>
      <c r="T380" s="228"/>
      <c r="U380" s="55">
        <f t="shared" si="5"/>
        <v>1.3008627290504997</v>
      </c>
    </row>
    <row r="381" spans="1:21" ht="15" customHeight="1">
      <c r="A381" s="262">
        <f>A375+1</f>
        <v>3</v>
      </c>
      <c r="B381" s="249" t="s">
        <v>128</v>
      </c>
      <c r="C381" s="523" t="s">
        <v>129</v>
      </c>
      <c r="D381" s="250" t="s">
        <v>130</v>
      </c>
      <c r="E381" s="423">
        <f>9.5/1000</f>
        <v>9.4999999999999998E-3</v>
      </c>
      <c r="F381" s="241"/>
      <c r="G381" s="275">
        <v>0</v>
      </c>
      <c r="H381" s="241"/>
      <c r="I381" s="222"/>
      <c r="J381" s="275">
        <v>14</v>
      </c>
      <c r="K381" s="223"/>
      <c r="L381" s="212"/>
      <c r="M381" s="213"/>
      <c r="N381" s="214"/>
      <c r="O381" s="424"/>
      <c r="P381" s="215"/>
      <c r="Q381" s="216"/>
      <c r="R381" s="217">
        <f>G382+J382</f>
        <v>36.887339999999995</v>
      </c>
      <c r="S381" s="533"/>
      <c r="T381" s="218"/>
      <c r="U381" s="55">
        <f t="shared" si="5"/>
        <v>1.3008627290504997</v>
      </c>
    </row>
    <row r="382" spans="1:21" ht="11.25" customHeight="1">
      <c r="A382" s="220"/>
      <c r="B382" s="249" t="s">
        <v>131</v>
      </c>
      <c r="C382" s="524"/>
      <c r="D382" s="250"/>
      <c r="E382" s="221"/>
      <c r="F382" s="241"/>
      <c r="G382" s="210">
        <f>G381*$J$13/1000</f>
        <v>0</v>
      </c>
      <c r="H382" s="241"/>
      <c r="I382" s="222"/>
      <c r="J382" s="210">
        <f>J381*$Q$13/1000</f>
        <v>36.887339999999995</v>
      </c>
      <c r="K382" s="223"/>
      <c r="L382" s="238"/>
      <c r="M382" s="239"/>
      <c r="N382" s="240"/>
      <c r="O382" s="425"/>
      <c r="P382" s="241"/>
      <c r="Q382" s="227"/>
      <c r="R382" s="221"/>
      <c r="S382" s="534"/>
      <c r="T382" s="228"/>
      <c r="U382" s="55">
        <f t="shared" si="5"/>
        <v>1.3008627290504997</v>
      </c>
    </row>
    <row r="383" spans="1:21" ht="12" hidden="1">
      <c r="A383" s="220"/>
      <c r="B383" s="274"/>
      <c r="C383" s="524"/>
      <c r="D383" s="250"/>
      <c r="E383" s="221"/>
      <c r="F383" s="241"/>
      <c r="G383" s="275"/>
      <c r="H383" s="241"/>
      <c r="I383" s="222"/>
      <c r="J383" s="275"/>
      <c r="K383" s="223"/>
      <c r="L383" s="238"/>
      <c r="M383" s="239"/>
      <c r="N383" s="240"/>
      <c r="O383" s="425"/>
      <c r="P383" s="241"/>
      <c r="Q383" s="227"/>
      <c r="R383" s="221"/>
      <c r="S383" s="221"/>
      <c r="T383" s="228"/>
      <c r="U383" s="55">
        <f t="shared" si="5"/>
        <v>1.3008627290504997</v>
      </c>
    </row>
    <row r="384" spans="1:21">
      <c r="A384" s="229"/>
      <c r="B384" s="230"/>
      <c r="C384" s="231"/>
      <c r="D384" s="232"/>
      <c r="E384" s="233"/>
      <c r="F384" s="234"/>
      <c r="G384" s="235"/>
      <c r="H384" s="234"/>
      <c r="I384" s="236"/>
      <c r="J384" s="235"/>
      <c r="K384" s="237"/>
      <c r="L384" s="238"/>
      <c r="M384" s="239"/>
      <c r="N384" s="240"/>
      <c r="O384" s="425"/>
      <c r="P384" s="241"/>
      <c r="Q384" s="227"/>
      <c r="R384" s="221"/>
      <c r="S384" s="221"/>
      <c r="T384" s="228"/>
      <c r="U384" s="55">
        <f t="shared" si="5"/>
        <v>1.3008627290504997</v>
      </c>
    </row>
    <row r="385" spans="1:21" ht="14.25" customHeight="1">
      <c r="A385" s="262">
        <f>A381+1</f>
        <v>4</v>
      </c>
      <c r="B385" s="204" t="s">
        <v>132</v>
      </c>
      <c r="C385" s="523" t="s">
        <v>133</v>
      </c>
      <c r="D385" s="205" t="s">
        <v>130</v>
      </c>
      <c r="E385" s="423">
        <f>7.4/1000</f>
        <v>7.4000000000000003E-3</v>
      </c>
      <c r="F385" s="207"/>
      <c r="G385" s="208">
        <v>6.77</v>
      </c>
      <c r="H385" s="207"/>
      <c r="I385" s="222"/>
      <c r="J385" s="275">
        <v>164.23</v>
      </c>
      <c r="K385" s="223"/>
      <c r="L385" s="212"/>
      <c r="M385" s="213"/>
      <c r="N385" s="214"/>
      <c r="O385" s="214"/>
      <c r="P385" s="215"/>
      <c r="Q385" s="216"/>
      <c r="R385" s="217">
        <f>G386+J386</f>
        <v>444.47271149999995</v>
      </c>
      <c r="S385" s="533"/>
      <c r="T385" s="218"/>
      <c r="U385" s="55">
        <f t="shared" si="5"/>
        <v>1.3008627290504997</v>
      </c>
    </row>
    <row r="386" spans="1:21" ht="12">
      <c r="A386" s="220"/>
      <c r="B386" s="204"/>
      <c r="C386" s="524"/>
      <c r="D386" s="205"/>
      <c r="E386" s="221"/>
      <c r="F386" s="207"/>
      <c r="G386" s="210">
        <f>G385*$J$13/1000</f>
        <v>11.757865199999998</v>
      </c>
      <c r="H386" s="207"/>
      <c r="I386" s="222"/>
      <c r="J386" s="210">
        <f>J385*$Q$13/1000</f>
        <v>432.71484629999998</v>
      </c>
      <c r="K386" s="223"/>
      <c r="L386" s="224"/>
      <c r="M386" s="225"/>
      <c r="N386" s="226"/>
      <c r="O386" s="226"/>
      <c r="P386" s="207"/>
      <c r="Q386" s="227"/>
      <c r="R386" s="221"/>
      <c r="S386" s="534"/>
      <c r="T386" s="228"/>
      <c r="U386" s="55">
        <f t="shared" si="5"/>
        <v>1.3008627290504997</v>
      </c>
    </row>
    <row r="387" spans="1:21" ht="12" hidden="1">
      <c r="A387" s="220"/>
      <c r="B387" s="219"/>
      <c r="C387" s="524"/>
      <c r="D387" s="205"/>
      <c r="E387" s="221"/>
      <c r="F387" s="207"/>
      <c r="G387" s="208"/>
      <c r="H387" s="207"/>
      <c r="I387" s="222"/>
      <c r="J387" s="275"/>
      <c r="K387" s="223"/>
      <c r="L387" s="224"/>
      <c r="M387" s="225"/>
      <c r="N387" s="226"/>
      <c r="O387" s="226"/>
      <c r="P387" s="207"/>
      <c r="Q387" s="227"/>
      <c r="R387" s="221"/>
      <c r="S387" s="221"/>
      <c r="T387" s="228"/>
      <c r="U387" s="55">
        <f t="shared" si="5"/>
        <v>1.3008627290504997</v>
      </c>
    </row>
    <row r="388" spans="1:21" ht="12" hidden="1">
      <c r="A388" s="220"/>
      <c r="B388" s="219"/>
      <c r="C388" s="524"/>
      <c r="D388" s="205"/>
      <c r="E388" s="221"/>
      <c r="F388" s="207"/>
      <c r="G388" s="208"/>
      <c r="H388" s="207"/>
      <c r="I388" s="222"/>
      <c r="J388" s="275"/>
      <c r="K388" s="223"/>
      <c r="L388" s="224"/>
      <c r="M388" s="225"/>
      <c r="N388" s="226"/>
      <c r="O388" s="226"/>
      <c r="P388" s="207"/>
      <c r="Q388" s="227"/>
      <c r="R388" s="221"/>
      <c r="S388" s="221"/>
      <c r="T388" s="228"/>
      <c r="U388" s="55">
        <f t="shared" si="5"/>
        <v>1.3008627290504997</v>
      </c>
    </row>
    <row r="389" spans="1:21" ht="12" hidden="1">
      <c r="A389" s="220"/>
      <c r="B389" s="219"/>
      <c r="C389" s="524"/>
      <c r="D389" s="205"/>
      <c r="E389" s="221"/>
      <c r="F389" s="207"/>
      <c r="G389" s="208"/>
      <c r="H389" s="207"/>
      <c r="I389" s="222"/>
      <c r="J389" s="275"/>
      <c r="K389" s="223"/>
      <c r="L389" s="224"/>
      <c r="M389" s="225"/>
      <c r="N389" s="226"/>
      <c r="O389" s="226"/>
      <c r="P389" s="207"/>
      <c r="Q389" s="227"/>
      <c r="R389" s="221"/>
      <c r="S389" s="221"/>
      <c r="T389" s="228"/>
      <c r="U389" s="55">
        <f t="shared" si="5"/>
        <v>1.3008627290504997</v>
      </c>
    </row>
    <row r="390" spans="1:21">
      <c r="A390" s="229"/>
      <c r="B390" s="230"/>
      <c r="C390" s="231"/>
      <c r="D390" s="232"/>
      <c r="E390" s="233"/>
      <c r="F390" s="234"/>
      <c r="G390" s="235"/>
      <c r="H390" s="234"/>
      <c r="I390" s="236"/>
      <c r="J390" s="235"/>
      <c r="K390" s="237"/>
      <c r="L390" s="238"/>
      <c r="M390" s="239"/>
      <c r="N390" s="240"/>
      <c r="O390" s="240"/>
      <c r="P390" s="241"/>
      <c r="Q390" s="227"/>
      <c r="R390" s="221"/>
      <c r="S390" s="221"/>
      <c r="T390" s="228"/>
      <c r="U390" s="55">
        <f t="shared" si="5"/>
        <v>1.3008627290504997</v>
      </c>
    </row>
    <row r="391" spans="1:21" ht="14.25" customHeight="1">
      <c r="A391" s="262">
        <f>A385+1</f>
        <v>5</v>
      </c>
      <c r="B391" s="249" t="s">
        <v>134</v>
      </c>
      <c r="C391" s="523" t="s">
        <v>135</v>
      </c>
      <c r="D391" s="250" t="s">
        <v>33</v>
      </c>
      <c r="E391" s="221">
        <f>E385*1000*1.6</f>
        <v>11.840000000000002</v>
      </c>
      <c r="F391" s="241"/>
      <c r="G391" s="275">
        <v>0</v>
      </c>
      <c r="H391" s="241"/>
      <c r="I391" s="222"/>
      <c r="J391" s="275">
        <v>0.33</v>
      </c>
      <c r="K391" s="223"/>
      <c r="L391" s="212"/>
      <c r="M391" s="213"/>
      <c r="N391" s="214"/>
      <c r="O391" s="424"/>
      <c r="P391" s="215"/>
      <c r="Q391" s="216"/>
      <c r="R391" s="217">
        <f>G392+J392</f>
        <v>0.86948729999999996</v>
      </c>
      <c r="S391" s="533"/>
      <c r="T391" s="218"/>
      <c r="U391" s="55">
        <f t="shared" si="5"/>
        <v>1.3008627290504997</v>
      </c>
    </row>
    <row r="392" spans="1:21" ht="12">
      <c r="A392" s="229"/>
      <c r="B392" s="230"/>
      <c r="C392" s="545"/>
      <c r="D392" s="232"/>
      <c r="E392" s="233"/>
      <c r="F392" s="234"/>
      <c r="G392" s="357">
        <f>G391*$J$13/1000</f>
        <v>0</v>
      </c>
      <c r="H392" s="234"/>
      <c r="I392" s="236"/>
      <c r="J392" s="357">
        <f>J391*$Q$13/1000</f>
        <v>0.86948729999999996</v>
      </c>
      <c r="K392" s="237"/>
      <c r="L392" s="238"/>
      <c r="M392" s="239"/>
      <c r="N392" s="240"/>
      <c r="O392" s="425"/>
      <c r="P392" s="241"/>
      <c r="Q392" s="227"/>
      <c r="R392" s="221"/>
      <c r="S392" s="534"/>
      <c r="T392" s="228"/>
      <c r="U392" s="55">
        <f t="shared" si="5"/>
        <v>1.3008627290504997</v>
      </c>
    </row>
    <row r="393" spans="1:21" ht="18.75" customHeight="1">
      <c r="A393" s="42">
        <f>A391+1</f>
        <v>6</v>
      </c>
      <c r="B393" s="43" t="s">
        <v>99</v>
      </c>
      <c r="C393" s="541" t="s">
        <v>290</v>
      </c>
      <c r="D393" s="44" t="s">
        <v>35</v>
      </c>
      <c r="E393" s="90">
        <v>0.34</v>
      </c>
      <c r="F393" s="46"/>
      <c r="G393" s="47">
        <v>0.11</v>
      </c>
      <c r="H393" s="46"/>
      <c r="I393" s="48"/>
      <c r="J393" s="47">
        <v>0.76</v>
      </c>
      <c r="K393" s="49"/>
      <c r="L393" s="173"/>
      <c r="M393" s="92"/>
      <c r="N393" s="174"/>
      <c r="O393" s="175"/>
      <c r="P393" s="94"/>
      <c r="Q393" s="95"/>
      <c r="R393" s="54">
        <f>G394+J394</f>
        <v>2.1934992000000002</v>
      </c>
      <c r="S393" s="533"/>
      <c r="T393" s="543"/>
      <c r="U393" s="55">
        <f t="shared" si="5"/>
        <v>1.3008627290504997</v>
      </c>
    </row>
    <row r="394" spans="1:21" ht="12.75" customHeight="1">
      <c r="A394" s="58"/>
      <c r="B394" s="59"/>
      <c r="C394" s="542"/>
      <c r="E394" s="61"/>
      <c r="G394" s="47">
        <f>G393*$J$13/1000</f>
        <v>0.19104360000000001</v>
      </c>
      <c r="I394" s="63"/>
      <c r="J394" s="47">
        <f>J393*$Q$13/1000</f>
        <v>2.0024556000000002</v>
      </c>
      <c r="K394" s="64"/>
      <c r="L394" s="176" t="s">
        <v>48</v>
      </c>
      <c r="M394" s="181" t="s">
        <v>35</v>
      </c>
      <c r="N394" s="178">
        <v>1.26</v>
      </c>
      <c r="O394" s="178">
        <f>E393*N394</f>
        <v>0.42840000000000006</v>
      </c>
      <c r="P394" s="179">
        <v>4</v>
      </c>
      <c r="Q394" s="180">
        <f>N394*P394*$N$11</f>
        <v>5.752478088000001</v>
      </c>
      <c r="R394" s="61">
        <f>SUM(Q394:Q394)</f>
        <v>5.752478088000001</v>
      </c>
      <c r="S394" s="534"/>
      <c r="T394" s="544"/>
      <c r="U394" s="55">
        <f t="shared" si="5"/>
        <v>1.3008627290504997</v>
      </c>
    </row>
    <row r="395" spans="1:21">
      <c r="A395" s="76"/>
      <c r="B395" s="77"/>
      <c r="C395" s="78"/>
      <c r="D395" s="79"/>
      <c r="E395" s="80"/>
      <c r="F395" s="81"/>
      <c r="G395" s="82"/>
      <c r="H395" s="81"/>
      <c r="I395" s="83"/>
      <c r="J395" s="82"/>
      <c r="K395" s="84"/>
      <c r="L395" s="85"/>
      <c r="M395" s="86"/>
      <c r="N395" s="171"/>
      <c r="O395" s="172"/>
      <c r="P395" s="81"/>
      <c r="Q395" s="88"/>
      <c r="R395" s="80"/>
      <c r="S395" s="80"/>
      <c r="T395" s="89"/>
      <c r="U395" s="55">
        <f t="shared" si="5"/>
        <v>1.3008627290504997</v>
      </c>
    </row>
    <row r="396" spans="1:21" ht="15" customHeight="1">
      <c r="A396" s="262">
        <f>A393+1</f>
        <v>7</v>
      </c>
      <c r="B396" s="204" t="s">
        <v>136</v>
      </c>
      <c r="C396" s="523" t="s">
        <v>137</v>
      </c>
      <c r="D396" s="205" t="s">
        <v>26</v>
      </c>
      <c r="E396" s="221">
        <v>55</v>
      </c>
      <c r="F396" s="207"/>
      <c r="G396" s="208">
        <v>0.19</v>
      </c>
      <c r="H396" s="207"/>
      <c r="I396" s="222"/>
      <c r="J396" s="275">
        <v>0.02</v>
      </c>
      <c r="K396" s="223"/>
      <c r="L396" s="264"/>
      <c r="M396" s="265"/>
      <c r="N396" s="266"/>
      <c r="O396" s="266"/>
      <c r="P396" s="245"/>
      <c r="Q396" s="267"/>
      <c r="R396" s="217">
        <f>G397+J397</f>
        <v>0.38268060000000004</v>
      </c>
      <c r="S396" s="533"/>
      <c r="T396" s="525"/>
      <c r="U396" s="55">
        <f t="shared" si="5"/>
        <v>1.3008627290504997</v>
      </c>
    </row>
    <row r="397" spans="1:21" ht="11.25" customHeight="1">
      <c r="A397" s="220"/>
      <c r="B397" s="204"/>
      <c r="C397" s="524"/>
      <c r="D397" s="205"/>
      <c r="E397" s="221"/>
      <c r="F397" s="207"/>
      <c r="G397" s="210">
        <f>G396*$J$13/1000</f>
        <v>0.32998440000000001</v>
      </c>
      <c r="H397" s="207"/>
      <c r="I397" s="222"/>
      <c r="J397" s="210">
        <f>J396*$Q$13/1000</f>
        <v>5.2696199999999999E-2</v>
      </c>
      <c r="K397" s="223"/>
      <c r="L397" s="537" t="s">
        <v>137</v>
      </c>
      <c r="M397" s="269" t="s">
        <v>26</v>
      </c>
      <c r="N397" s="270">
        <v>1</v>
      </c>
      <c r="O397" s="271">
        <f>E396*N397</f>
        <v>55</v>
      </c>
      <c r="P397" s="272">
        <v>1.2330000000000001</v>
      </c>
      <c r="Q397" s="273">
        <f>N397*P397*$N$11</f>
        <v>1.4073026751000004</v>
      </c>
      <c r="R397" s="221">
        <f>SUM(Q397:Q397)</f>
        <v>1.4073026751000004</v>
      </c>
      <c r="S397" s="534"/>
      <c r="T397" s="526"/>
      <c r="U397" s="55">
        <f t="shared" si="5"/>
        <v>1.3008627290504997</v>
      </c>
    </row>
    <row r="398" spans="1:21" ht="12" hidden="1">
      <c r="A398" s="220"/>
      <c r="B398" s="219"/>
      <c r="C398" s="524"/>
      <c r="D398" s="205"/>
      <c r="E398" s="221"/>
      <c r="F398" s="207"/>
      <c r="G398" s="208"/>
      <c r="H398" s="207"/>
      <c r="I398" s="222"/>
      <c r="J398" s="275"/>
      <c r="K398" s="223"/>
      <c r="L398" s="538"/>
      <c r="M398" s="252"/>
      <c r="N398" s="364"/>
      <c r="O398" s="364"/>
      <c r="P398" s="365"/>
      <c r="Q398" s="255"/>
      <c r="R398" s="221"/>
      <c r="S398" s="221"/>
      <c r="T398" s="228"/>
      <c r="U398" s="55">
        <f t="shared" si="5"/>
        <v>1.3008627290504997</v>
      </c>
    </row>
    <row r="399" spans="1:21" ht="12" hidden="1">
      <c r="A399" s="220"/>
      <c r="B399" s="219"/>
      <c r="C399" s="524"/>
      <c r="D399" s="205"/>
      <c r="E399" s="221"/>
      <c r="F399" s="207"/>
      <c r="G399" s="208"/>
      <c r="H399" s="207"/>
      <c r="I399" s="222"/>
      <c r="J399" s="275"/>
      <c r="K399" s="223"/>
      <c r="L399" s="224"/>
      <c r="M399" s="225"/>
      <c r="N399" s="226"/>
      <c r="O399" s="226"/>
      <c r="P399" s="207"/>
      <c r="Q399" s="227"/>
      <c r="R399" s="221"/>
      <c r="S399" s="221"/>
      <c r="T399" s="228"/>
      <c r="U399" s="55">
        <f t="shared" si="5"/>
        <v>1.3008627290504997</v>
      </c>
    </row>
    <row r="400" spans="1:21">
      <c r="A400" s="229"/>
      <c r="B400" s="230"/>
      <c r="C400" s="231"/>
      <c r="D400" s="232"/>
      <c r="E400" s="233"/>
      <c r="F400" s="234"/>
      <c r="G400" s="235"/>
      <c r="H400" s="234"/>
      <c r="I400" s="236"/>
      <c r="J400" s="235"/>
      <c r="K400" s="237"/>
      <c r="L400" s="238"/>
      <c r="M400" s="239"/>
      <c r="N400" s="240"/>
      <c r="O400" s="240"/>
      <c r="P400" s="241"/>
      <c r="Q400" s="227"/>
      <c r="R400" s="221"/>
      <c r="S400" s="221"/>
      <c r="T400" s="228"/>
      <c r="U400" s="55">
        <f t="shared" si="5"/>
        <v>1.3008627290504997</v>
      </c>
    </row>
    <row r="401" spans="1:21" ht="15.75" customHeight="1">
      <c r="A401" s="262">
        <f>A396+1</f>
        <v>8</v>
      </c>
      <c r="B401" s="204" t="s">
        <v>136</v>
      </c>
      <c r="C401" s="523" t="s">
        <v>138</v>
      </c>
      <c r="D401" s="205" t="s">
        <v>26</v>
      </c>
      <c r="E401" s="221">
        <v>67</v>
      </c>
      <c r="F401" s="207"/>
      <c r="G401" s="208">
        <v>0.19</v>
      </c>
      <c r="H401" s="207"/>
      <c r="I401" s="222"/>
      <c r="J401" s="275">
        <v>0.02</v>
      </c>
      <c r="K401" s="223"/>
      <c r="L401" s="264"/>
      <c r="M401" s="265"/>
      <c r="N401" s="266"/>
      <c r="O401" s="266"/>
      <c r="P401" s="245"/>
      <c r="Q401" s="267"/>
      <c r="R401" s="217">
        <f>G402+J402</f>
        <v>0.38268060000000004</v>
      </c>
      <c r="S401" s="533"/>
      <c r="T401" s="525"/>
      <c r="U401" s="55">
        <f t="shared" si="5"/>
        <v>1.3008627290504997</v>
      </c>
    </row>
    <row r="402" spans="1:21" ht="11.25" customHeight="1">
      <c r="A402" s="220"/>
      <c r="B402" s="204"/>
      <c r="C402" s="524"/>
      <c r="D402" s="205"/>
      <c r="E402" s="221"/>
      <c r="F402" s="207"/>
      <c r="G402" s="210">
        <f>G401*$J$13/1000</f>
        <v>0.32998440000000001</v>
      </c>
      <c r="H402" s="207"/>
      <c r="I402" s="222"/>
      <c r="J402" s="210">
        <f>J401*$Q$13/1000</f>
        <v>5.2696199999999999E-2</v>
      </c>
      <c r="K402" s="223"/>
      <c r="L402" s="537" t="s">
        <v>138</v>
      </c>
      <c r="M402" s="269" t="s">
        <v>26</v>
      </c>
      <c r="N402" s="270">
        <v>1</v>
      </c>
      <c r="O402" s="271">
        <f>E401*N402</f>
        <v>67</v>
      </c>
      <c r="P402" s="272">
        <v>0.82499999999999996</v>
      </c>
      <c r="Q402" s="273">
        <f>N402*P402*$N$11</f>
        <v>0.94162587750000015</v>
      </c>
      <c r="R402" s="221">
        <f>SUM(Q402:Q402)</f>
        <v>0.94162587750000015</v>
      </c>
      <c r="S402" s="534"/>
      <c r="T402" s="526"/>
      <c r="U402" s="55">
        <f t="shared" si="5"/>
        <v>1.3008627290504997</v>
      </c>
    </row>
    <row r="403" spans="1:21" ht="12" hidden="1">
      <c r="A403" s="220"/>
      <c r="B403" s="219"/>
      <c r="C403" s="524"/>
      <c r="D403" s="205"/>
      <c r="E403" s="221"/>
      <c r="F403" s="207"/>
      <c r="G403" s="208"/>
      <c r="H403" s="207"/>
      <c r="I403" s="222"/>
      <c r="J403" s="275"/>
      <c r="K403" s="223"/>
      <c r="L403" s="538"/>
      <c r="M403" s="252"/>
      <c r="N403" s="364"/>
      <c r="O403" s="364"/>
      <c r="P403" s="365"/>
      <c r="Q403" s="255"/>
      <c r="R403" s="221"/>
      <c r="S403" s="221"/>
      <c r="T403" s="228"/>
      <c r="U403" s="55">
        <f t="shared" si="5"/>
        <v>1.3008627290504997</v>
      </c>
    </row>
    <row r="404" spans="1:21" ht="12" hidden="1">
      <c r="A404" s="220"/>
      <c r="B404" s="219"/>
      <c r="C404" s="524"/>
      <c r="D404" s="205"/>
      <c r="E404" s="221"/>
      <c r="F404" s="207"/>
      <c r="G404" s="208"/>
      <c r="H404" s="207"/>
      <c r="I404" s="222"/>
      <c r="J404" s="275"/>
      <c r="K404" s="223"/>
      <c r="L404" s="224"/>
      <c r="M404" s="225"/>
      <c r="N404" s="226"/>
      <c r="O404" s="226"/>
      <c r="P404" s="207"/>
      <c r="Q404" s="227"/>
      <c r="R404" s="221"/>
      <c r="S404" s="221"/>
      <c r="T404" s="228"/>
      <c r="U404" s="55">
        <f t="shared" si="5"/>
        <v>1.3008627290504997</v>
      </c>
    </row>
    <row r="405" spans="1:21">
      <c r="A405" s="229"/>
      <c r="B405" s="230"/>
      <c r="C405" s="231"/>
      <c r="D405" s="232"/>
      <c r="E405" s="233"/>
      <c r="F405" s="234"/>
      <c r="G405" s="235"/>
      <c r="H405" s="234"/>
      <c r="I405" s="236"/>
      <c r="J405" s="235"/>
      <c r="K405" s="237"/>
      <c r="L405" s="238"/>
      <c r="M405" s="239"/>
      <c r="N405" s="240"/>
      <c r="O405" s="240"/>
      <c r="P405" s="241"/>
      <c r="Q405" s="227"/>
      <c r="R405" s="221"/>
      <c r="S405" s="221"/>
      <c r="T405" s="228"/>
      <c r="U405" s="55">
        <f t="shared" si="5"/>
        <v>1.3008627290504997</v>
      </c>
    </row>
    <row r="406" spans="1:21" ht="16.5" customHeight="1">
      <c r="A406" s="262">
        <f>A401+1</f>
        <v>9</v>
      </c>
      <c r="B406" s="204" t="s">
        <v>136</v>
      </c>
      <c r="C406" s="523" t="s">
        <v>139</v>
      </c>
      <c r="D406" s="205" t="s">
        <v>26</v>
      </c>
      <c r="E406" s="221">
        <v>116</v>
      </c>
      <c r="F406" s="207"/>
      <c r="G406" s="208">
        <v>0.19</v>
      </c>
      <c r="H406" s="207"/>
      <c r="I406" s="222"/>
      <c r="J406" s="275">
        <v>0.02</v>
      </c>
      <c r="K406" s="223"/>
      <c r="L406" s="264"/>
      <c r="M406" s="265"/>
      <c r="N406" s="266"/>
      <c r="O406" s="266"/>
      <c r="P406" s="245"/>
      <c r="Q406" s="267"/>
      <c r="R406" s="217">
        <f>G407+J407</f>
        <v>0.38268060000000004</v>
      </c>
      <c r="S406" s="533"/>
      <c r="T406" s="525"/>
      <c r="U406" s="55">
        <f t="shared" ref="U406:U469" si="8">1.133*1.11*1.01*1.009*1.015</f>
        <v>1.3008627290504997</v>
      </c>
    </row>
    <row r="407" spans="1:21" ht="12">
      <c r="A407" s="220"/>
      <c r="B407" s="204"/>
      <c r="C407" s="524"/>
      <c r="D407" s="205"/>
      <c r="E407" s="221"/>
      <c r="F407" s="207"/>
      <c r="G407" s="210">
        <f>G406*$J$13/1000</f>
        <v>0.32998440000000001</v>
      </c>
      <c r="H407" s="207"/>
      <c r="I407" s="222"/>
      <c r="J407" s="210">
        <f>J406*$Q$13/1000</f>
        <v>5.2696199999999999E-2</v>
      </c>
      <c r="K407" s="223"/>
      <c r="L407" s="537" t="s">
        <v>139</v>
      </c>
      <c r="M407" s="269" t="s">
        <v>26</v>
      </c>
      <c r="N407" s="270">
        <v>1</v>
      </c>
      <c r="O407" s="271">
        <f>E406*N407</f>
        <v>116</v>
      </c>
      <c r="P407" s="272">
        <v>0.64800000000000002</v>
      </c>
      <c r="Q407" s="273">
        <f>N407*P407*$N$11</f>
        <v>0.73960432560000022</v>
      </c>
      <c r="R407" s="221">
        <f>SUM(Q407:Q407)</f>
        <v>0.73960432560000022</v>
      </c>
      <c r="S407" s="534"/>
      <c r="T407" s="526"/>
      <c r="U407" s="55">
        <f t="shared" si="8"/>
        <v>1.3008627290504997</v>
      </c>
    </row>
    <row r="408" spans="1:21" ht="0.75" customHeight="1">
      <c r="A408" s="220"/>
      <c r="B408" s="219"/>
      <c r="C408" s="524"/>
      <c r="D408" s="205"/>
      <c r="E408" s="221"/>
      <c r="F408" s="207"/>
      <c r="G408" s="208"/>
      <c r="H408" s="207"/>
      <c r="I408" s="222"/>
      <c r="J408" s="275"/>
      <c r="K408" s="223"/>
      <c r="L408" s="538"/>
      <c r="M408" s="252"/>
      <c r="N408" s="364"/>
      <c r="O408" s="364"/>
      <c r="P408" s="365"/>
      <c r="Q408" s="255"/>
      <c r="R408" s="221"/>
      <c r="S408" s="221"/>
      <c r="T408" s="228"/>
      <c r="U408" s="55">
        <f t="shared" si="8"/>
        <v>1.3008627290504997</v>
      </c>
    </row>
    <row r="409" spans="1:21" ht="12" hidden="1">
      <c r="A409" s="220"/>
      <c r="B409" s="219"/>
      <c r="C409" s="524"/>
      <c r="D409" s="205"/>
      <c r="E409" s="221"/>
      <c r="F409" s="207"/>
      <c r="G409" s="208"/>
      <c r="H409" s="207"/>
      <c r="I409" s="222"/>
      <c r="J409" s="275"/>
      <c r="K409" s="223"/>
      <c r="L409" s="224"/>
      <c r="M409" s="225"/>
      <c r="N409" s="226"/>
      <c r="O409" s="226"/>
      <c r="P409" s="207"/>
      <c r="Q409" s="227"/>
      <c r="R409" s="221"/>
      <c r="S409" s="221"/>
      <c r="T409" s="228"/>
      <c r="U409" s="55">
        <f t="shared" si="8"/>
        <v>1.3008627290504997</v>
      </c>
    </row>
    <row r="410" spans="1:21">
      <c r="A410" s="229"/>
      <c r="B410" s="230"/>
      <c r="C410" s="231"/>
      <c r="D410" s="232"/>
      <c r="E410" s="233"/>
      <c r="F410" s="234"/>
      <c r="G410" s="235"/>
      <c r="H410" s="234"/>
      <c r="I410" s="236"/>
      <c r="J410" s="235"/>
      <c r="K410" s="237"/>
      <c r="L410" s="238"/>
      <c r="M410" s="239"/>
      <c r="N410" s="240"/>
      <c r="O410" s="240"/>
      <c r="P410" s="241"/>
      <c r="Q410" s="227"/>
      <c r="R410" s="221"/>
      <c r="S410" s="221"/>
      <c r="T410" s="228"/>
      <c r="U410" s="55">
        <f t="shared" si="8"/>
        <v>1.3008627290504997</v>
      </c>
    </row>
    <row r="411" spans="1:21" ht="17.25" customHeight="1">
      <c r="A411" s="262">
        <f>A406+1</f>
        <v>10</v>
      </c>
      <c r="B411" s="204" t="s">
        <v>140</v>
      </c>
      <c r="C411" s="523" t="s">
        <v>151</v>
      </c>
      <c r="D411" s="205" t="s">
        <v>27</v>
      </c>
      <c r="E411" s="221">
        <v>2</v>
      </c>
      <c r="F411" s="207"/>
      <c r="G411" s="208">
        <v>0.79</v>
      </c>
      <c r="H411" s="207"/>
      <c r="I411" s="222"/>
      <c r="J411" s="275">
        <v>0.06</v>
      </c>
      <c r="K411" s="223"/>
      <c r="L411" s="264"/>
      <c r="M411" s="265"/>
      <c r="N411" s="266"/>
      <c r="O411" s="266"/>
      <c r="P411" s="245"/>
      <c r="Q411" s="267"/>
      <c r="R411" s="217">
        <f>G412+J412</f>
        <v>1.5301290000000001</v>
      </c>
      <c r="S411" s="533"/>
      <c r="T411" s="525"/>
      <c r="U411" s="55">
        <f t="shared" si="8"/>
        <v>1.3008627290504997</v>
      </c>
    </row>
    <row r="412" spans="1:21" ht="12">
      <c r="A412" s="220"/>
      <c r="B412" s="204"/>
      <c r="C412" s="524"/>
      <c r="D412" s="205"/>
      <c r="E412" s="221"/>
      <c r="F412" s="207"/>
      <c r="G412" s="210">
        <f>G411*$J$13/1000</f>
        <v>1.3720404000000002</v>
      </c>
      <c r="H412" s="207"/>
      <c r="I412" s="222"/>
      <c r="J412" s="210">
        <f>J411*$Q$13/1000</f>
        <v>0.1580886</v>
      </c>
      <c r="K412" s="223"/>
      <c r="L412" s="537" t="s">
        <v>152</v>
      </c>
      <c r="M412" s="269" t="s">
        <v>27</v>
      </c>
      <c r="N412" s="270">
        <v>1</v>
      </c>
      <c r="O412" s="271">
        <f>E411*N412</f>
        <v>2</v>
      </c>
      <c r="P412" s="272">
        <v>6.2</v>
      </c>
      <c r="Q412" s="273">
        <f>N412*P412*$N$11</f>
        <v>7.0764611400000019</v>
      </c>
      <c r="R412" s="221">
        <f>SUM(Q412:Q412)</f>
        <v>7.0764611400000019</v>
      </c>
      <c r="S412" s="534"/>
      <c r="T412" s="526"/>
      <c r="U412" s="55">
        <f t="shared" si="8"/>
        <v>1.3008627290504997</v>
      </c>
    </row>
    <row r="413" spans="1:21" ht="12" hidden="1">
      <c r="A413" s="220"/>
      <c r="B413" s="219"/>
      <c r="C413" s="524"/>
      <c r="D413" s="205"/>
      <c r="E413" s="221"/>
      <c r="F413" s="207"/>
      <c r="G413" s="208"/>
      <c r="H413" s="207"/>
      <c r="I413" s="222"/>
      <c r="J413" s="275"/>
      <c r="K413" s="223"/>
      <c r="L413" s="540"/>
      <c r="M413" s="361"/>
      <c r="N413" s="362"/>
      <c r="O413" s="362"/>
      <c r="P413" s="363"/>
      <c r="Q413" s="294"/>
      <c r="R413" s="221"/>
      <c r="S413" s="221"/>
      <c r="T413" s="228"/>
      <c r="U413" s="55">
        <f t="shared" si="8"/>
        <v>1.3008627290504997</v>
      </c>
    </row>
    <row r="414" spans="1:21">
      <c r="A414" s="229"/>
      <c r="B414" s="230"/>
      <c r="C414" s="231"/>
      <c r="D414" s="232"/>
      <c r="E414" s="233"/>
      <c r="F414" s="234"/>
      <c r="G414" s="235"/>
      <c r="H414" s="234"/>
      <c r="I414" s="236"/>
      <c r="J414" s="235"/>
      <c r="K414" s="237"/>
      <c r="L414" s="238"/>
      <c r="M414" s="239"/>
      <c r="N414" s="240"/>
      <c r="O414" s="240"/>
      <c r="P414" s="241"/>
      <c r="Q414" s="227"/>
      <c r="R414" s="221"/>
      <c r="S414" s="221"/>
      <c r="T414" s="228"/>
      <c r="U414" s="55">
        <f t="shared" si="8"/>
        <v>1.3008627290504997</v>
      </c>
    </row>
    <row r="415" spans="1:21" ht="12" customHeight="1">
      <c r="A415" s="262">
        <f>A411+1</f>
        <v>11</v>
      </c>
      <c r="B415" s="204" t="s">
        <v>140</v>
      </c>
      <c r="C415" s="523" t="s">
        <v>153</v>
      </c>
      <c r="D415" s="205" t="s">
        <v>27</v>
      </c>
      <c r="E415" s="221">
        <v>3</v>
      </c>
      <c r="F415" s="207"/>
      <c r="G415" s="208">
        <v>0.79</v>
      </c>
      <c r="H415" s="207"/>
      <c r="I415" s="222"/>
      <c r="J415" s="275">
        <v>0.06</v>
      </c>
      <c r="K415" s="223"/>
      <c r="L415" s="264"/>
      <c r="M415" s="265"/>
      <c r="N415" s="266"/>
      <c r="O415" s="266"/>
      <c r="P415" s="245"/>
      <c r="Q415" s="267"/>
      <c r="R415" s="217">
        <f>G416+J416</f>
        <v>1.5301290000000001</v>
      </c>
      <c r="S415" s="533"/>
      <c r="T415" s="525"/>
      <c r="U415" s="55">
        <f t="shared" si="8"/>
        <v>1.3008627290504997</v>
      </c>
    </row>
    <row r="416" spans="1:21" ht="12">
      <c r="A416" s="220"/>
      <c r="B416" s="204"/>
      <c r="C416" s="524"/>
      <c r="D416" s="205"/>
      <c r="E416" s="221"/>
      <c r="F416" s="207"/>
      <c r="G416" s="210">
        <f>G415*$J$13/1000</f>
        <v>1.3720404000000002</v>
      </c>
      <c r="H416" s="207"/>
      <c r="I416" s="222"/>
      <c r="J416" s="210">
        <f>J415*$Q$13/1000</f>
        <v>0.1580886</v>
      </c>
      <c r="K416" s="223"/>
      <c r="L416" s="537" t="s">
        <v>154</v>
      </c>
      <c r="M416" s="269" t="s">
        <v>27</v>
      </c>
      <c r="N416" s="270">
        <v>1</v>
      </c>
      <c r="O416" s="271">
        <f>E415*N416</f>
        <v>3</v>
      </c>
      <c r="P416" s="272">
        <v>5.6</v>
      </c>
      <c r="Q416" s="273">
        <f>N416*P416*$N$11</f>
        <v>6.3916423200000008</v>
      </c>
      <c r="R416" s="221">
        <f>SUM(Q416:Q416)</f>
        <v>6.3916423200000008</v>
      </c>
      <c r="S416" s="534"/>
      <c r="T416" s="526"/>
      <c r="U416" s="55">
        <f t="shared" si="8"/>
        <v>1.3008627290504997</v>
      </c>
    </row>
    <row r="417" spans="1:21" ht="12" hidden="1">
      <c r="A417" s="220"/>
      <c r="B417" s="219"/>
      <c r="C417" s="524"/>
      <c r="D417" s="205"/>
      <c r="E417" s="221"/>
      <c r="F417" s="207"/>
      <c r="G417" s="208"/>
      <c r="H417" s="207"/>
      <c r="I417" s="222"/>
      <c r="J417" s="275"/>
      <c r="K417" s="223"/>
      <c r="L417" s="540"/>
      <c r="M417" s="361"/>
      <c r="N417" s="362"/>
      <c r="O417" s="362"/>
      <c r="P417" s="363"/>
      <c r="Q417" s="294"/>
      <c r="R417" s="221"/>
      <c r="S417" s="221"/>
      <c r="T417" s="228"/>
      <c r="U417" s="55">
        <f t="shared" si="8"/>
        <v>1.3008627290504997</v>
      </c>
    </row>
    <row r="418" spans="1:21">
      <c r="A418" s="229"/>
      <c r="B418" s="230"/>
      <c r="C418" s="231"/>
      <c r="D418" s="232"/>
      <c r="E418" s="233"/>
      <c r="F418" s="234"/>
      <c r="G418" s="235"/>
      <c r="H418" s="234"/>
      <c r="I418" s="236"/>
      <c r="J418" s="235"/>
      <c r="K418" s="237"/>
      <c r="L418" s="238"/>
      <c r="M418" s="239"/>
      <c r="N418" s="240"/>
      <c r="O418" s="240"/>
      <c r="P418" s="241"/>
      <c r="Q418" s="227"/>
      <c r="R418" s="221"/>
      <c r="S418" s="221"/>
      <c r="T418" s="228"/>
      <c r="U418" s="55">
        <f t="shared" si="8"/>
        <v>1.3008627290504997</v>
      </c>
    </row>
    <row r="419" spans="1:21" ht="10.5" customHeight="1">
      <c r="A419" s="262">
        <f>A415+1</f>
        <v>12</v>
      </c>
      <c r="B419" s="204" t="s">
        <v>140</v>
      </c>
      <c r="C419" s="523" t="s">
        <v>141</v>
      </c>
      <c r="D419" s="205" t="s">
        <v>27</v>
      </c>
      <c r="E419" s="221">
        <v>41</v>
      </c>
      <c r="F419" s="207"/>
      <c r="G419" s="208">
        <v>0.79</v>
      </c>
      <c r="H419" s="207"/>
      <c r="I419" s="222"/>
      <c r="J419" s="275">
        <v>0.06</v>
      </c>
      <c r="K419" s="223"/>
      <c r="L419" s="264"/>
      <c r="M419" s="265"/>
      <c r="N419" s="266"/>
      <c r="O419" s="266"/>
      <c r="P419" s="245"/>
      <c r="Q419" s="267"/>
      <c r="R419" s="217">
        <f>G420+J420</f>
        <v>1.5301290000000001</v>
      </c>
      <c r="S419" s="533"/>
      <c r="T419" s="525"/>
      <c r="U419" s="55">
        <f t="shared" si="8"/>
        <v>1.3008627290504997</v>
      </c>
    </row>
    <row r="420" spans="1:21" ht="11.25" customHeight="1">
      <c r="A420" s="220"/>
      <c r="B420" s="204"/>
      <c r="C420" s="524"/>
      <c r="D420" s="205"/>
      <c r="E420" s="221"/>
      <c r="F420" s="207"/>
      <c r="G420" s="210">
        <f>G419*$J$13/1000</f>
        <v>1.3720404000000002</v>
      </c>
      <c r="H420" s="207"/>
      <c r="I420" s="222"/>
      <c r="J420" s="210">
        <f>J419*$Q$13/1000</f>
        <v>0.1580886</v>
      </c>
      <c r="K420" s="223"/>
      <c r="L420" s="537" t="s">
        <v>142</v>
      </c>
      <c r="M420" s="269" t="s">
        <v>27</v>
      </c>
      <c r="N420" s="270">
        <v>1</v>
      </c>
      <c r="O420" s="271">
        <f>E419*N420</f>
        <v>41</v>
      </c>
      <c r="P420" s="272">
        <v>2.5</v>
      </c>
      <c r="Q420" s="273">
        <f>N420*P420*$N$11</f>
        <v>2.8534117500000007</v>
      </c>
      <c r="R420" s="221">
        <f>SUM(Q420:Q420)</f>
        <v>2.8534117500000007</v>
      </c>
      <c r="S420" s="534"/>
      <c r="T420" s="526"/>
      <c r="U420" s="55">
        <f t="shared" si="8"/>
        <v>1.3008627290504997</v>
      </c>
    </row>
    <row r="421" spans="1:21" ht="12" hidden="1">
      <c r="A421" s="220"/>
      <c r="B421" s="219"/>
      <c r="C421" s="524"/>
      <c r="D421" s="205"/>
      <c r="E421" s="221"/>
      <c r="F421" s="207"/>
      <c r="G421" s="208"/>
      <c r="H421" s="207"/>
      <c r="I421" s="222"/>
      <c r="J421" s="275"/>
      <c r="K421" s="223"/>
      <c r="L421" s="540"/>
      <c r="M421" s="361"/>
      <c r="N421" s="362"/>
      <c r="O421" s="362"/>
      <c r="P421" s="363"/>
      <c r="Q421" s="294"/>
      <c r="R421" s="221"/>
      <c r="S421" s="221"/>
      <c r="T421" s="228"/>
      <c r="U421" s="55">
        <f t="shared" si="8"/>
        <v>1.3008627290504997</v>
      </c>
    </row>
    <row r="422" spans="1:21" ht="12" hidden="1">
      <c r="A422" s="220"/>
      <c r="B422" s="219"/>
      <c r="C422" s="524"/>
      <c r="D422" s="205"/>
      <c r="E422" s="221"/>
      <c r="F422" s="207"/>
      <c r="G422" s="208"/>
      <c r="H422" s="207"/>
      <c r="I422" s="222"/>
      <c r="J422" s="275"/>
      <c r="K422" s="223"/>
      <c r="L422" s="538"/>
      <c r="M422" s="252"/>
      <c r="N422" s="364"/>
      <c r="O422" s="364"/>
      <c r="P422" s="365"/>
      <c r="Q422" s="255"/>
      <c r="R422" s="221"/>
      <c r="S422" s="221"/>
      <c r="T422" s="228"/>
      <c r="U422" s="55">
        <f t="shared" si="8"/>
        <v>1.3008627290504997</v>
      </c>
    </row>
    <row r="423" spans="1:21">
      <c r="A423" s="229"/>
      <c r="B423" s="230"/>
      <c r="C423" s="231"/>
      <c r="D423" s="232"/>
      <c r="E423" s="233"/>
      <c r="F423" s="234"/>
      <c r="G423" s="235"/>
      <c r="H423" s="234"/>
      <c r="I423" s="236"/>
      <c r="J423" s="235"/>
      <c r="K423" s="237"/>
      <c r="L423" s="238"/>
      <c r="M423" s="239"/>
      <c r="N423" s="240"/>
      <c r="O423" s="240"/>
      <c r="P423" s="241"/>
      <c r="Q423" s="227"/>
      <c r="R423" s="221"/>
      <c r="S423" s="221"/>
      <c r="T423" s="228"/>
      <c r="U423" s="55">
        <f t="shared" si="8"/>
        <v>1.3008627290504997</v>
      </c>
    </row>
    <row r="424" spans="1:21" ht="13.5" customHeight="1">
      <c r="A424" s="262">
        <f>A419+1</f>
        <v>13</v>
      </c>
      <c r="B424" s="204" t="s">
        <v>140</v>
      </c>
      <c r="C424" s="523" t="s">
        <v>143</v>
      </c>
      <c r="D424" s="205" t="s">
        <v>27</v>
      </c>
      <c r="E424" s="221">
        <v>3</v>
      </c>
      <c r="F424" s="207"/>
      <c r="G424" s="208">
        <v>0.79</v>
      </c>
      <c r="H424" s="207"/>
      <c r="I424" s="222"/>
      <c r="J424" s="275">
        <v>0.06</v>
      </c>
      <c r="K424" s="223"/>
      <c r="L424" s="264"/>
      <c r="M424" s="265"/>
      <c r="N424" s="266"/>
      <c r="O424" s="266"/>
      <c r="P424" s="245"/>
      <c r="Q424" s="267"/>
      <c r="R424" s="217">
        <f>G425+J425</f>
        <v>1.5301290000000001</v>
      </c>
      <c r="S424" s="533"/>
      <c r="T424" s="525"/>
      <c r="U424" s="55">
        <f t="shared" si="8"/>
        <v>1.3008627290504997</v>
      </c>
    </row>
    <row r="425" spans="1:21" ht="12">
      <c r="A425" s="220"/>
      <c r="B425" s="204"/>
      <c r="C425" s="524"/>
      <c r="D425" s="205"/>
      <c r="E425" s="221"/>
      <c r="F425" s="207"/>
      <c r="G425" s="210">
        <f>G424*$J$13/1000</f>
        <v>1.3720404000000002</v>
      </c>
      <c r="H425" s="207"/>
      <c r="I425" s="222"/>
      <c r="J425" s="210">
        <f>J424*$Q$13/1000</f>
        <v>0.1580886</v>
      </c>
      <c r="K425" s="223"/>
      <c r="L425" s="537" t="s">
        <v>144</v>
      </c>
      <c r="M425" s="269" t="s">
        <v>27</v>
      </c>
      <c r="N425" s="270">
        <v>1</v>
      </c>
      <c r="O425" s="271">
        <f>E424*N425</f>
        <v>3</v>
      </c>
      <c r="P425" s="272">
        <v>3.7</v>
      </c>
      <c r="Q425" s="273">
        <f>N425*P425*$N$11</f>
        <v>4.2230493900000008</v>
      </c>
      <c r="R425" s="221">
        <f>SUM(Q425:Q425)</f>
        <v>4.2230493900000008</v>
      </c>
      <c r="S425" s="534"/>
      <c r="T425" s="526"/>
      <c r="U425" s="55">
        <f t="shared" si="8"/>
        <v>1.3008627290504997</v>
      </c>
    </row>
    <row r="426" spans="1:21" ht="12" hidden="1">
      <c r="A426" s="220"/>
      <c r="B426" s="219"/>
      <c r="C426" s="524"/>
      <c r="D426" s="205"/>
      <c r="E426" s="221"/>
      <c r="F426" s="207"/>
      <c r="G426" s="208"/>
      <c r="H426" s="207"/>
      <c r="I426" s="222"/>
      <c r="J426" s="275"/>
      <c r="K426" s="223"/>
      <c r="L426" s="540"/>
      <c r="M426" s="361"/>
      <c r="N426" s="362"/>
      <c r="O426" s="362"/>
      <c r="P426" s="363"/>
      <c r="Q426" s="294"/>
      <c r="R426" s="221"/>
      <c r="S426" s="221"/>
      <c r="T426" s="228"/>
      <c r="U426" s="55">
        <f t="shared" si="8"/>
        <v>1.3008627290504997</v>
      </c>
    </row>
    <row r="427" spans="1:21" ht="12" hidden="1">
      <c r="A427" s="220"/>
      <c r="B427" s="219"/>
      <c r="C427" s="524"/>
      <c r="D427" s="205"/>
      <c r="E427" s="221"/>
      <c r="F427" s="207"/>
      <c r="G427" s="208"/>
      <c r="H427" s="207"/>
      <c r="I427" s="222"/>
      <c r="J427" s="275"/>
      <c r="K427" s="223"/>
      <c r="L427" s="538"/>
      <c r="M427" s="252"/>
      <c r="N427" s="364"/>
      <c r="O427" s="364"/>
      <c r="P427" s="365"/>
      <c r="Q427" s="255"/>
      <c r="R427" s="221"/>
      <c r="S427" s="221"/>
      <c r="T427" s="228"/>
      <c r="U427" s="55">
        <f t="shared" si="8"/>
        <v>1.3008627290504997</v>
      </c>
    </row>
    <row r="428" spans="1:21">
      <c r="A428" s="229"/>
      <c r="B428" s="230"/>
      <c r="C428" s="231"/>
      <c r="D428" s="232"/>
      <c r="E428" s="233"/>
      <c r="F428" s="234"/>
      <c r="G428" s="235"/>
      <c r="H428" s="234"/>
      <c r="I428" s="236"/>
      <c r="J428" s="235"/>
      <c r="K428" s="237"/>
      <c r="L428" s="238"/>
      <c r="M428" s="239"/>
      <c r="N428" s="240"/>
      <c r="O428" s="240"/>
      <c r="P428" s="241"/>
      <c r="Q428" s="227"/>
      <c r="R428" s="221"/>
      <c r="S428" s="221"/>
      <c r="T428" s="228"/>
      <c r="U428" s="55">
        <f t="shared" si="8"/>
        <v>1.3008627290504997</v>
      </c>
    </row>
    <row r="429" spans="1:21" ht="15.75" customHeight="1">
      <c r="A429" s="262">
        <f>A424+1</f>
        <v>14</v>
      </c>
      <c r="B429" s="204" t="s">
        <v>140</v>
      </c>
      <c r="C429" s="523" t="s">
        <v>145</v>
      </c>
      <c r="D429" s="205" t="s">
        <v>33</v>
      </c>
      <c r="E429" s="221">
        <f>29*5.5/1000</f>
        <v>0.1595</v>
      </c>
      <c r="F429" s="207"/>
      <c r="G429" s="208">
        <v>190</v>
      </c>
      <c r="H429" s="207"/>
      <c r="I429" s="222"/>
      <c r="J429" s="275">
        <v>162</v>
      </c>
      <c r="K429" s="223"/>
      <c r="L429" s="264"/>
      <c r="M429" s="265"/>
      <c r="N429" s="266"/>
      <c r="O429" s="266"/>
      <c r="P429" s="245"/>
      <c r="Q429" s="267"/>
      <c r="R429" s="217">
        <f>G430+J430</f>
        <v>756.82362000000001</v>
      </c>
      <c r="S429" s="533"/>
      <c r="T429" s="525"/>
      <c r="U429" s="55">
        <f t="shared" si="8"/>
        <v>1.3008627290504997</v>
      </c>
    </row>
    <row r="430" spans="1:21" ht="12">
      <c r="A430" s="220"/>
      <c r="B430" s="204"/>
      <c r="C430" s="524"/>
      <c r="D430" s="205"/>
      <c r="E430" s="221"/>
      <c r="F430" s="207"/>
      <c r="G430" s="210">
        <f>G429*$J$13/1000</f>
        <v>329.98440000000005</v>
      </c>
      <c r="H430" s="207"/>
      <c r="I430" s="222"/>
      <c r="J430" s="210">
        <f>J429*$Q$13/1000</f>
        <v>426.83921999999995</v>
      </c>
      <c r="K430" s="223"/>
      <c r="L430" s="537" t="s">
        <v>146</v>
      </c>
      <c r="M430" s="269" t="s">
        <v>33</v>
      </c>
      <c r="N430" s="270">
        <v>1</v>
      </c>
      <c r="O430" s="271">
        <f>E429*N430</f>
        <v>0.1595</v>
      </c>
      <c r="P430" s="272">
        <v>750</v>
      </c>
      <c r="Q430" s="273">
        <f>N430*P430*$N$11</f>
        <v>856.02352500000018</v>
      </c>
      <c r="R430" s="221">
        <f>SUM(Q430:Q430)</f>
        <v>856.02352500000018</v>
      </c>
      <c r="S430" s="534"/>
      <c r="T430" s="526"/>
      <c r="U430" s="55">
        <f t="shared" si="8"/>
        <v>1.3008627290504997</v>
      </c>
    </row>
    <row r="431" spans="1:21" ht="12" hidden="1">
      <c r="A431" s="220"/>
      <c r="B431" s="219"/>
      <c r="C431" s="524"/>
      <c r="D431" s="205"/>
      <c r="E431" s="221"/>
      <c r="F431" s="207"/>
      <c r="G431" s="208"/>
      <c r="H431" s="207"/>
      <c r="I431" s="222"/>
      <c r="J431" s="275"/>
      <c r="K431" s="223"/>
      <c r="L431" s="540"/>
      <c r="M431" s="361"/>
      <c r="N431" s="362"/>
      <c r="O431" s="362"/>
      <c r="P431" s="363"/>
      <c r="Q431" s="294"/>
      <c r="R431" s="221"/>
      <c r="S431" s="221"/>
      <c r="T431" s="228"/>
      <c r="U431" s="55">
        <f t="shared" si="8"/>
        <v>1.3008627290504997</v>
      </c>
    </row>
    <row r="432" spans="1:21" ht="12" hidden="1">
      <c r="A432" s="220"/>
      <c r="B432" s="219"/>
      <c r="C432" s="524"/>
      <c r="D432" s="205"/>
      <c r="E432" s="221"/>
      <c r="F432" s="207"/>
      <c r="G432" s="208"/>
      <c r="H432" s="207"/>
      <c r="I432" s="222"/>
      <c r="J432" s="275"/>
      <c r="K432" s="223"/>
      <c r="L432" s="538"/>
      <c r="M432" s="252"/>
      <c r="N432" s="364"/>
      <c r="O432" s="364"/>
      <c r="P432" s="365"/>
      <c r="Q432" s="255"/>
      <c r="R432" s="221"/>
      <c r="S432" s="221"/>
      <c r="T432" s="228"/>
      <c r="U432" s="55">
        <f t="shared" si="8"/>
        <v>1.3008627290504997</v>
      </c>
    </row>
    <row r="433" spans="1:21">
      <c r="A433" s="229"/>
      <c r="B433" s="230"/>
      <c r="C433" s="231"/>
      <c r="D433" s="232"/>
      <c r="E433" s="233"/>
      <c r="F433" s="234"/>
      <c r="G433" s="235"/>
      <c r="H433" s="234"/>
      <c r="I433" s="236"/>
      <c r="J433" s="235"/>
      <c r="K433" s="237"/>
      <c r="L433" s="238"/>
      <c r="M433" s="239"/>
      <c r="N433" s="240"/>
      <c r="O433" s="240"/>
      <c r="P433" s="241"/>
      <c r="Q433" s="227"/>
      <c r="R433" s="221"/>
      <c r="S433" s="221"/>
      <c r="T433" s="228"/>
      <c r="U433" s="55">
        <f t="shared" si="8"/>
        <v>1.3008627290504997</v>
      </c>
    </row>
    <row r="434" spans="1:21" ht="13.5" customHeight="1">
      <c r="A434" s="42">
        <f>A429+1</f>
        <v>15</v>
      </c>
      <c r="B434" s="59" t="s">
        <v>55</v>
      </c>
      <c r="C434" s="541" t="s">
        <v>155</v>
      </c>
      <c r="D434" s="60" t="s">
        <v>42</v>
      </c>
      <c r="E434" s="61">
        <f>13/100</f>
        <v>0.13</v>
      </c>
      <c r="G434" s="71">
        <v>38.4</v>
      </c>
      <c r="I434" s="63"/>
      <c r="J434" s="71">
        <v>0.03</v>
      </c>
      <c r="K434" s="64"/>
      <c r="L434" s="50"/>
      <c r="M434" s="51"/>
      <c r="N434" s="52"/>
      <c r="O434" s="52"/>
      <c r="P434" s="46"/>
      <c r="Q434" s="53"/>
      <c r="R434" s="54">
        <f>G435+J435</f>
        <v>66.770628300000013</v>
      </c>
      <c r="S434" s="533"/>
      <c r="T434" s="543"/>
      <c r="U434" s="55">
        <f t="shared" si="8"/>
        <v>1.3008627290504997</v>
      </c>
    </row>
    <row r="435" spans="1:21" ht="12" customHeight="1">
      <c r="A435" s="58"/>
      <c r="B435" s="59" t="s">
        <v>56</v>
      </c>
      <c r="C435" s="542"/>
      <c r="E435" s="61"/>
      <c r="G435" s="47">
        <f>G434*$J$13/1000</f>
        <v>66.691584000000006</v>
      </c>
      <c r="I435" s="63"/>
      <c r="J435" s="47">
        <f>J434*$Q$13/1000</f>
        <v>7.9044299999999998E-2</v>
      </c>
      <c r="K435" s="64"/>
      <c r="L435" s="323" t="s">
        <v>43</v>
      </c>
      <c r="M435" s="324" t="s">
        <v>39</v>
      </c>
      <c r="N435" s="325">
        <v>27.3</v>
      </c>
      <c r="O435" s="326">
        <f>E434*N435</f>
        <v>3.5490000000000004</v>
      </c>
      <c r="P435" s="327">
        <v>1.02</v>
      </c>
      <c r="Q435" s="69">
        <f>N435*P435*$N$11</f>
        <v>31.782441436200006</v>
      </c>
      <c r="R435" s="61">
        <f>SUM(Q435:Q435)</f>
        <v>31.782441436200006</v>
      </c>
      <c r="S435" s="534"/>
      <c r="T435" s="544"/>
      <c r="U435" s="55">
        <f t="shared" si="8"/>
        <v>1.3008627290504997</v>
      </c>
    </row>
    <row r="436" spans="1:21" ht="0.75" hidden="1" customHeight="1">
      <c r="A436" s="58"/>
      <c r="C436" s="542"/>
      <c r="E436" s="61"/>
      <c r="I436" s="63"/>
      <c r="K436" s="64"/>
      <c r="O436" s="99"/>
      <c r="Q436" s="100"/>
      <c r="R436" s="61"/>
      <c r="S436" s="61"/>
      <c r="T436" s="101"/>
      <c r="U436" s="55">
        <f t="shared" si="8"/>
        <v>1.3008627290504997</v>
      </c>
    </row>
    <row r="437" spans="1:21" ht="12" hidden="1">
      <c r="A437" s="58"/>
      <c r="C437" s="542"/>
      <c r="E437" s="61"/>
      <c r="I437" s="63"/>
      <c r="K437" s="64"/>
      <c r="O437" s="99"/>
      <c r="Q437" s="100"/>
      <c r="R437" s="61"/>
      <c r="S437" s="61"/>
      <c r="T437" s="101"/>
      <c r="U437" s="55">
        <f t="shared" si="8"/>
        <v>1.3008627290504997</v>
      </c>
    </row>
    <row r="438" spans="1:21">
      <c r="A438" s="76"/>
      <c r="B438" s="77"/>
      <c r="C438" s="78"/>
      <c r="D438" s="79"/>
      <c r="E438" s="80"/>
      <c r="F438" s="81"/>
      <c r="G438" s="82"/>
      <c r="H438" s="81"/>
      <c r="I438" s="83"/>
      <c r="J438" s="82"/>
      <c r="K438" s="84"/>
      <c r="L438" s="85"/>
      <c r="M438" s="86"/>
      <c r="N438" s="87"/>
      <c r="O438" s="87"/>
      <c r="P438" s="81"/>
      <c r="Q438" s="88"/>
      <c r="R438" s="80"/>
      <c r="S438" s="80"/>
      <c r="T438" s="89"/>
      <c r="U438" s="55">
        <f t="shared" si="8"/>
        <v>1.3008627290504997</v>
      </c>
    </row>
    <row r="439" spans="1:21" ht="13.5" customHeight="1">
      <c r="A439" s="203">
        <f>A434+1</f>
        <v>16</v>
      </c>
      <c r="B439" s="242" t="s">
        <v>147</v>
      </c>
      <c r="C439" s="523" t="s">
        <v>148</v>
      </c>
      <c r="D439" s="243" t="s">
        <v>24</v>
      </c>
      <c r="E439" s="263">
        <f>238/100</f>
        <v>2.38</v>
      </c>
      <c r="F439" s="245"/>
      <c r="G439" s="210">
        <v>3.73</v>
      </c>
      <c r="H439" s="245"/>
      <c r="I439" s="209"/>
      <c r="J439" s="210">
        <v>0</v>
      </c>
      <c r="K439" s="211"/>
      <c r="L439" s="212"/>
      <c r="M439" s="213"/>
      <c r="N439" s="214"/>
      <c r="O439" s="424"/>
      <c r="P439" s="215"/>
      <c r="Q439" s="216"/>
      <c r="R439" s="217">
        <f>G440+J440</f>
        <v>6.4781148000000002</v>
      </c>
      <c r="S439" s="533"/>
      <c r="T439" s="218"/>
      <c r="U439" s="55">
        <f t="shared" si="8"/>
        <v>1.3008627290504997</v>
      </c>
    </row>
    <row r="440" spans="1:21" ht="9.75" customHeight="1">
      <c r="A440" s="220"/>
      <c r="B440" s="249" t="s">
        <v>149</v>
      </c>
      <c r="C440" s="524"/>
      <c r="D440" s="250"/>
      <c r="E440" s="221"/>
      <c r="F440" s="241"/>
      <c r="G440" s="210">
        <f>G439*$J$13/1000</f>
        <v>6.4781148000000002</v>
      </c>
      <c r="H440" s="241"/>
      <c r="I440" s="222"/>
      <c r="J440" s="210">
        <f>J439*$Q$13/1000</f>
        <v>0</v>
      </c>
      <c r="K440" s="223"/>
      <c r="L440" s="238"/>
      <c r="M440" s="239"/>
      <c r="N440" s="240"/>
      <c r="O440" s="425"/>
      <c r="P440" s="241"/>
      <c r="Q440" s="227"/>
      <c r="R440" s="221"/>
      <c r="S440" s="534"/>
      <c r="T440" s="228"/>
      <c r="U440" s="55">
        <f t="shared" si="8"/>
        <v>1.3008627290504997</v>
      </c>
    </row>
    <row r="441" spans="1:21">
      <c r="A441" s="229"/>
      <c r="B441" s="230"/>
      <c r="C441" s="231"/>
      <c r="D441" s="232"/>
      <c r="E441" s="233"/>
      <c r="F441" s="234"/>
      <c r="G441" s="235"/>
      <c r="H441" s="234"/>
      <c r="I441" s="236"/>
      <c r="J441" s="235"/>
      <c r="K441" s="237"/>
      <c r="L441" s="256"/>
      <c r="M441" s="257"/>
      <c r="N441" s="288"/>
      <c r="O441" s="426"/>
      <c r="P441" s="234"/>
      <c r="Q441" s="260"/>
      <c r="R441" s="233"/>
      <c r="S441" s="233"/>
      <c r="T441" s="261"/>
      <c r="U441" s="55">
        <f t="shared" si="8"/>
        <v>1.3008627290504997</v>
      </c>
    </row>
    <row r="442" spans="1:21" ht="12">
      <c r="A442" s="427"/>
      <c r="B442" s="428"/>
      <c r="C442" s="429" t="s">
        <v>25</v>
      </c>
      <c r="D442" s="430"/>
      <c r="E442" s="431"/>
      <c r="F442" s="432"/>
      <c r="G442" s="433"/>
      <c r="H442" s="432"/>
      <c r="I442" s="432"/>
      <c r="J442" s="433"/>
      <c r="K442" s="432"/>
      <c r="L442" s="434"/>
      <c r="M442" s="435"/>
      <c r="N442" s="436"/>
      <c r="O442" s="437"/>
      <c r="P442" s="438"/>
      <c r="Q442" s="439"/>
      <c r="R442" s="437"/>
      <c r="S442" s="437"/>
      <c r="T442" s="440">
        <f>SUM(T372:T441)</f>
        <v>0</v>
      </c>
      <c r="U442" s="55">
        <f t="shared" si="8"/>
        <v>1.3008627290504997</v>
      </c>
    </row>
    <row r="443" spans="1:21" ht="12" customHeight="1">
      <c r="A443" s="441"/>
      <c r="B443" s="441"/>
      <c r="C443" s="529" t="s">
        <v>156</v>
      </c>
      <c r="D443" s="530"/>
      <c r="E443" s="527"/>
      <c r="F443" s="408"/>
      <c r="G443" s="442"/>
      <c r="H443" s="443"/>
      <c r="I443" s="408"/>
      <c r="J443" s="442"/>
      <c r="K443" s="443"/>
      <c r="L443" s="441"/>
      <c r="M443" s="441"/>
      <c r="N443" s="441"/>
      <c r="O443" s="441"/>
      <c r="P443" s="441"/>
      <c r="Q443" s="441"/>
      <c r="R443" s="441"/>
      <c r="S443" s="441"/>
      <c r="T443" s="519">
        <v>0.10390000000000001</v>
      </c>
      <c r="U443" s="55">
        <f t="shared" si="8"/>
        <v>1.3008627290504997</v>
      </c>
    </row>
    <row r="444" spans="1:21" ht="12" customHeight="1">
      <c r="A444" s="444"/>
      <c r="B444" s="444"/>
      <c r="C444" s="531"/>
      <c r="D444" s="532"/>
      <c r="E444" s="528"/>
      <c r="F444" s="413"/>
      <c r="G444" s="445"/>
      <c r="H444" s="446"/>
      <c r="I444" s="413"/>
      <c r="J444" s="445"/>
      <c r="K444" s="446"/>
      <c r="L444" s="444"/>
      <c r="M444" s="444"/>
      <c r="N444" s="444"/>
      <c r="O444" s="444"/>
      <c r="P444" s="444"/>
      <c r="Q444" s="444"/>
      <c r="R444" s="444"/>
      <c r="S444" s="444"/>
      <c r="T444" s="520"/>
      <c r="U444" s="55">
        <f t="shared" si="8"/>
        <v>1.3008627290504997</v>
      </c>
    </row>
    <row r="445" spans="1:21" ht="15.75" customHeight="1">
      <c r="A445" s="447">
        <v>1</v>
      </c>
      <c r="B445" s="204" t="s">
        <v>158</v>
      </c>
      <c r="C445" s="524" t="s">
        <v>84</v>
      </c>
      <c r="D445" s="448" t="s">
        <v>35</v>
      </c>
      <c r="E445" s="221">
        <f>4.5</f>
        <v>4.5</v>
      </c>
      <c r="F445" s="207"/>
      <c r="G445" s="208">
        <f>205/100</f>
        <v>2.0499999999999998</v>
      </c>
      <c r="H445" s="207"/>
      <c r="I445" s="222"/>
      <c r="J445" s="208"/>
      <c r="K445" s="223"/>
      <c r="L445" s="212"/>
      <c r="M445" s="449"/>
      <c r="N445" s="214"/>
      <c r="O445" s="424"/>
      <c r="P445" s="215"/>
      <c r="Q445" s="216"/>
      <c r="R445" s="217">
        <f>G446+J446</f>
        <v>0</v>
      </c>
      <c r="S445" s="263"/>
      <c r="T445" s="218"/>
      <c r="U445" s="55">
        <f t="shared" si="8"/>
        <v>1.3008627290504997</v>
      </c>
    </row>
    <row r="446" spans="1:21" ht="15" customHeight="1">
      <c r="A446" s="450"/>
      <c r="B446" s="204" t="s">
        <v>159</v>
      </c>
      <c r="C446" s="524"/>
      <c r="D446" s="448"/>
      <c r="E446" s="221"/>
      <c r="F446" s="207"/>
      <c r="G446" s="210">
        <f>G445*$J$12/1000</f>
        <v>0</v>
      </c>
      <c r="H446" s="207"/>
      <c r="I446" s="222"/>
      <c r="J446" s="210"/>
      <c r="K446" s="223"/>
      <c r="L446" s="224"/>
      <c r="M446" s="451"/>
      <c r="N446" s="226"/>
      <c r="O446" s="452"/>
      <c r="P446" s="207"/>
      <c r="Q446" s="227"/>
      <c r="R446" s="221"/>
      <c r="S446" s="221"/>
      <c r="T446" s="228"/>
      <c r="U446" s="55">
        <f t="shared" si="8"/>
        <v>1.3008627290504997</v>
      </c>
    </row>
    <row r="447" spans="1:21">
      <c r="A447" s="453"/>
      <c r="B447" s="454"/>
      <c r="C447" s="455"/>
      <c r="D447" s="456"/>
      <c r="E447" s="233"/>
      <c r="F447" s="234"/>
      <c r="G447" s="235"/>
      <c r="H447" s="234"/>
      <c r="I447" s="236"/>
      <c r="J447" s="235"/>
      <c r="K447" s="237"/>
      <c r="L447" s="224"/>
      <c r="M447" s="451"/>
      <c r="N447" s="226"/>
      <c r="O447" s="452"/>
      <c r="P447" s="207"/>
      <c r="Q447" s="227"/>
      <c r="R447" s="221"/>
      <c r="S447" s="221"/>
      <c r="T447" s="228"/>
      <c r="U447" s="55">
        <f t="shared" si="8"/>
        <v>1.3008627290504997</v>
      </c>
    </row>
    <row r="448" spans="1:21" ht="18.75" customHeight="1">
      <c r="A448" s="447">
        <f>A445+1</f>
        <v>2</v>
      </c>
      <c r="B448" s="204" t="s">
        <v>160</v>
      </c>
      <c r="C448" s="523" t="s">
        <v>161</v>
      </c>
      <c r="D448" s="448" t="s">
        <v>35</v>
      </c>
      <c r="E448" s="221">
        <f>4.5-E457</f>
        <v>2.16</v>
      </c>
      <c r="F448" s="207"/>
      <c r="G448" s="208">
        <f>56.2/100</f>
        <v>0.56200000000000006</v>
      </c>
      <c r="H448" s="207"/>
      <c r="I448" s="222"/>
      <c r="J448" s="208"/>
      <c r="K448" s="223"/>
      <c r="L448" s="212"/>
      <c r="M448" s="449"/>
      <c r="N448" s="214"/>
      <c r="O448" s="424"/>
      <c r="P448" s="215"/>
      <c r="Q448" s="216"/>
      <c r="R448" s="217">
        <f>G449+J449</f>
        <v>0</v>
      </c>
      <c r="S448" s="263"/>
      <c r="T448" s="218"/>
      <c r="U448" s="55">
        <f t="shared" si="8"/>
        <v>1.3008627290504997</v>
      </c>
    </row>
    <row r="449" spans="1:21" ht="15" customHeight="1">
      <c r="A449" s="450"/>
      <c r="B449" s="204" t="s">
        <v>159</v>
      </c>
      <c r="C449" s="524"/>
      <c r="D449" s="448"/>
      <c r="E449" s="221"/>
      <c r="F449" s="207"/>
      <c r="G449" s="210">
        <f>G448*$J$12/1000</f>
        <v>0</v>
      </c>
      <c r="H449" s="207"/>
      <c r="I449" s="222"/>
      <c r="J449" s="210"/>
      <c r="K449" s="223"/>
      <c r="L449" s="224"/>
      <c r="M449" s="451"/>
      <c r="N449" s="226"/>
      <c r="O449" s="452"/>
      <c r="P449" s="207"/>
      <c r="Q449" s="227"/>
      <c r="R449" s="221"/>
      <c r="S449" s="221"/>
      <c r="T449" s="228"/>
      <c r="U449" s="55">
        <f t="shared" si="8"/>
        <v>1.3008627290504997</v>
      </c>
    </row>
    <row r="450" spans="1:21">
      <c r="A450" s="453"/>
      <c r="B450" s="454"/>
      <c r="C450" s="455"/>
      <c r="D450" s="456"/>
      <c r="E450" s="233"/>
      <c r="F450" s="234"/>
      <c r="G450" s="235"/>
      <c r="H450" s="234"/>
      <c r="I450" s="236"/>
      <c r="J450" s="235"/>
      <c r="K450" s="237"/>
      <c r="L450" s="224"/>
      <c r="M450" s="451"/>
      <c r="N450" s="226"/>
      <c r="O450" s="452"/>
      <c r="P450" s="207"/>
      <c r="Q450" s="227"/>
      <c r="R450" s="221"/>
      <c r="S450" s="221"/>
      <c r="T450" s="228"/>
      <c r="U450" s="55">
        <f t="shared" si="8"/>
        <v>1.3008627290504997</v>
      </c>
    </row>
    <row r="451" spans="1:21" ht="20.25" customHeight="1">
      <c r="A451" s="447">
        <f>A448+1</f>
        <v>3</v>
      </c>
      <c r="B451" s="204" t="s">
        <v>160</v>
      </c>
      <c r="C451" s="523" t="s">
        <v>162</v>
      </c>
      <c r="D451" s="448" t="s">
        <v>35</v>
      </c>
      <c r="E451" s="221">
        <f>E445-E448</f>
        <v>2.34</v>
      </c>
      <c r="F451" s="207"/>
      <c r="G451" s="208">
        <f>56.2/100</f>
        <v>0.56200000000000006</v>
      </c>
      <c r="H451" s="207"/>
      <c r="I451" s="222"/>
      <c r="J451" s="208"/>
      <c r="K451" s="223"/>
      <c r="L451" s="212"/>
      <c r="M451" s="449"/>
      <c r="N451" s="214"/>
      <c r="O451" s="424"/>
      <c r="P451" s="215"/>
      <c r="Q451" s="216"/>
      <c r="R451" s="217">
        <f>G452+J452</f>
        <v>0</v>
      </c>
      <c r="S451" s="263"/>
      <c r="T451" s="218"/>
      <c r="U451" s="55">
        <f t="shared" si="8"/>
        <v>1.3008627290504997</v>
      </c>
    </row>
    <row r="452" spans="1:21" ht="18" customHeight="1">
      <c r="A452" s="450"/>
      <c r="B452" s="204" t="s">
        <v>159</v>
      </c>
      <c r="C452" s="524"/>
      <c r="D452" s="448"/>
      <c r="E452" s="221"/>
      <c r="F452" s="207"/>
      <c r="G452" s="210">
        <f>G451*$J$12/1000</f>
        <v>0</v>
      </c>
      <c r="H452" s="207"/>
      <c r="I452" s="222"/>
      <c r="J452" s="210"/>
      <c r="K452" s="223"/>
      <c r="L452" s="224"/>
      <c r="M452" s="451"/>
      <c r="N452" s="226"/>
      <c r="O452" s="452"/>
      <c r="P452" s="207"/>
      <c r="Q452" s="227"/>
      <c r="R452" s="221"/>
      <c r="S452" s="221"/>
      <c r="T452" s="228"/>
      <c r="U452" s="55">
        <f t="shared" si="8"/>
        <v>1.3008627290504997</v>
      </c>
    </row>
    <row r="453" spans="1:21">
      <c r="A453" s="453"/>
      <c r="B453" s="454"/>
      <c r="C453" s="455"/>
      <c r="D453" s="456"/>
      <c r="E453" s="233"/>
      <c r="F453" s="234"/>
      <c r="G453" s="235"/>
      <c r="H453" s="234"/>
      <c r="I453" s="236"/>
      <c r="J453" s="235"/>
      <c r="K453" s="237"/>
      <c r="L453" s="224"/>
      <c r="M453" s="451"/>
      <c r="N453" s="226"/>
      <c r="O453" s="452"/>
      <c r="P453" s="207"/>
      <c r="Q453" s="227"/>
      <c r="R453" s="221"/>
      <c r="S453" s="221"/>
      <c r="T453" s="228"/>
      <c r="U453" s="55">
        <f t="shared" si="8"/>
        <v>1.3008627290504997</v>
      </c>
    </row>
    <row r="454" spans="1:21" ht="18.75" customHeight="1">
      <c r="A454" s="203">
        <f>A451+1</f>
        <v>4</v>
      </c>
      <c r="B454" s="242" t="s">
        <v>34</v>
      </c>
      <c r="C454" s="523" t="s">
        <v>163</v>
      </c>
      <c r="D454" s="243" t="s">
        <v>35</v>
      </c>
      <c r="E454" s="263">
        <f>0.05*13</f>
        <v>0.65</v>
      </c>
      <c r="F454" s="245"/>
      <c r="G454" s="210">
        <v>1.82</v>
      </c>
      <c r="H454" s="245"/>
      <c r="I454" s="209"/>
      <c r="J454" s="210">
        <v>1.06</v>
      </c>
      <c r="K454" s="211"/>
      <c r="L454" s="246"/>
      <c r="M454" s="213"/>
      <c r="N454" s="247"/>
      <c r="O454" s="248"/>
      <c r="P454" s="215"/>
      <c r="Q454" s="216"/>
      <c r="R454" s="217">
        <f>G455+J455</f>
        <v>0</v>
      </c>
      <c r="S454" s="521"/>
      <c r="T454" s="525"/>
      <c r="U454" s="55">
        <f t="shared" si="8"/>
        <v>1.3008627290504997</v>
      </c>
    </row>
    <row r="455" spans="1:21" ht="13.5" customHeight="1">
      <c r="A455" s="220"/>
      <c r="B455" s="249" t="s">
        <v>41</v>
      </c>
      <c r="C455" s="524"/>
      <c r="D455" s="250"/>
      <c r="E455" s="221"/>
      <c r="F455" s="241"/>
      <c r="G455" s="210">
        <f>G454*$J$12/1000</f>
        <v>0</v>
      </c>
      <c r="H455" s="241"/>
      <c r="I455" s="222"/>
      <c r="J455" s="210">
        <f>J454*$Q$12/1000</f>
        <v>0</v>
      </c>
      <c r="K455" s="223"/>
      <c r="L455" s="251" t="s">
        <v>48</v>
      </c>
      <c r="M455" s="252" t="s">
        <v>35</v>
      </c>
      <c r="N455" s="253">
        <f>0.97+0.27</f>
        <v>1.24</v>
      </c>
      <c r="O455" s="253">
        <f>E454*N455</f>
        <v>0.80600000000000005</v>
      </c>
      <c r="P455" s="254">
        <v>4</v>
      </c>
      <c r="Q455" s="422">
        <f>N455*P455*$N$10</f>
        <v>0</v>
      </c>
      <c r="R455" s="221">
        <f>SUM(Q455:Q455)</f>
        <v>0</v>
      </c>
      <c r="S455" s="522"/>
      <c r="T455" s="526"/>
      <c r="U455" s="55">
        <f t="shared" si="8"/>
        <v>1.3008627290504997</v>
      </c>
    </row>
    <row r="456" spans="1:21">
      <c r="A456" s="229"/>
      <c r="B456" s="230"/>
      <c r="C456" s="231"/>
      <c r="D456" s="232"/>
      <c r="E456" s="233"/>
      <c r="F456" s="234"/>
      <c r="G456" s="235"/>
      <c r="H456" s="234"/>
      <c r="I456" s="236"/>
      <c r="J456" s="235"/>
      <c r="K456" s="237"/>
      <c r="L456" s="256"/>
      <c r="M456" s="257"/>
      <c r="N456" s="258"/>
      <c r="O456" s="259"/>
      <c r="P456" s="234"/>
      <c r="Q456" s="260"/>
      <c r="R456" s="233"/>
      <c r="S456" s="233"/>
      <c r="T456" s="261"/>
      <c r="U456" s="55">
        <f t="shared" si="8"/>
        <v>1.3008627290504997</v>
      </c>
    </row>
    <row r="457" spans="1:21" ht="12.75" customHeight="1">
      <c r="A457" s="447">
        <f>A454+1</f>
        <v>5</v>
      </c>
      <c r="B457" s="204" t="s">
        <v>164</v>
      </c>
      <c r="C457" s="523" t="s">
        <v>195</v>
      </c>
      <c r="D457" s="448" t="s">
        <v>35</v>
      </c>
      <c r="E457" s="221">
        <f>0.18*13</f>
        <v>2.34</v>
      </c>
      <c r="F457" s="207"/>
      <c r="G457" s="208">
        <v>0.78</v>
      </c>
      <c r="H457" s="207"/>
      <c r="I457" s="222"/>
      <c r="J457" s="208">
        <v>0.08</v>
      </c>
      <c r="K457" s="223"/>
      <c r="L457" s="264"/>
      <c r="M457" s="457"/>
      <c r="N457" s="266"/>
      <c r="O457" s="266"/>
      <c r="P457" s="245"/>
      <c r="Q457" s="267"/>
      <c r="R457" s="217">
        <f>G458+J458</f>
        <v>0</v>
      </c>
      <c r="S457" s="521"/>
      <c r="T457" s="525"/>
      <c r="U457" s="55">
        <f t="shared" si="8"/>
        <v>1.3008627290504997</v>
      </c>
    </row>
    <row r="458" spans="1:21" ht="16.5" customHeight="1">
      <c r="A458" s="450"/>
      <c r="B458" s="204" t="s">
        <v>166</v>
      </c>
      <c r="C458" s="524"/>
      <c r="D458" s="448"/>
      <c r="E458" s="221"/>
      <c r="F458" s="207"/>
      <c r="G458" s="210">
        <f>G457*$J$12/1000</f>
        <v>0</v>
      </c>
      <c r="H458" s="207"/>
      <c r="I458" s="222"/>
      <c r="J458" s="210">
        <f>J457*$Q$12/1000</f>
        <v>0</v>
      </c>
      <c r="K458" s="223"/>
      <c r="L458" s="417" t="s">
        <v>165</v>
      </c>
      <c r="M458" s="458" t="s">
        <v>35</v>
      </c>
      <c r="N458" s="419">
        <v>1</v>
      </c>
      <c r="O458" s="420">
        <f>E457*N458</f>
        <v>2.34</v>
      </c>
      <c r="P458" s="421">
        <v>27.15</v>
      </c>
      <c r="Q458" s="422">
        <f>N458*P458*$N$10</f>
        <v>0</v>
      </c>
      <c r="R458" s="221">
        <f>SUM(Q458:Q458)</f>
        <v>0</v>
      </c>
      <c r="S458" s="522"/>
      <c r="T458" s="526"/>
      <c r="U458" s="55">
        <f t="shared" si="8"/>
        <v>1.3008627290504997</v>
      </c>
    </row>
    <row r="459" spans="1:21">
      <c r="A459" s="453"/>
      <c r="B459" s="454"/>
      <c r="C459" s="455"/>
      <c r="D459" s="456"/>
      <c r="E459" s="233"/>
      <c r="F459" s="234"/>
      <c r="G459" s="235"/>
      <c r="H459" s="234"/>
      <c r="I459" s="236"/>
      <c r="J459" s="235"/>
      <c r="K459" s="237"/>
      <c r="L459" s="224"/>
      <c r="M459" s="451"/>
      <c r="N459" s="226"/>
      <c r="O459" s="226"/>
      <c r="P459" s="207"/>
      <c r="Q459" s="227"/>
      <c r="R459" s="221"/>
      <c r="S459" s="221"/>
      <c r="T459" s="228"/>
      <c r="U459" s="55">
        <f t="shared" si="8"/>
        <v>1.3008627290504997</v>
      </c>
    </row>
    <row r="460" spans="1:21" ht="13.5" customHeight="1">
      <c r="A460" s="459">
        <f>A457+1</f>
        <v>6</v>
      </c>
      <c r="B460" s="242" t="s">
        <v>167</v>
      </c>
      <c r="C460" s="523" t="s">
        <v>202</v>
      </c>
      <c r="D460" s="460" t="s">
        <v>27</v>
      </c>
      <c r="E460" s="263">
        <v>13</v>
      </c>
      <c r="F460" s="245"/>
      <c r="G460" s="210">
        <v>1.64</v>
      </c>
      <c r="H460" s="245"/>
      <c r="I460" s="209"/>
      <c r="J460" s="210">
        <v>2.0299999999999998</v>
      </c>
      <c r="K460" s="211"/>
      <c r="L460" s="264"/>
      <c r="M460" s="457"/>
      <c r="N460" s="266"/>
      <c r="O460" s="266"/>
      <c r="P460" s="245"/>
      <c r="Q460" s="267"/>
      <c r="R460" s="217">
        <f>G461+J461</f>
        <v>0</v>
      </c>
      <c r="S460" s="521"/>
      <c r="T460" s="525"/>
      <c r="U460" s="55">
        <f t="shared" si="8"/>
        <v>1.3008627290504997</v>
      </c>
    </row>
    <row r="461" spans="1:21" ht="12">
      <c r="A461" s="450"/>
      <c r="B461" s="249"/>
      <c r="C461" s="524"/>
      <c r="D461" s="461"/>
      <c r="E461" s="221"/>
      <c r="F461" s="241"/>
      <c r="G461" s="210">
        <f>G460*$J$12/1000</f>
        <v>0</v>
      </c>
      <c r="H461" s="241"/>
      <c r="I461" s="222"/>
      <c r="J461" s="210">
        <f>J460*$Q$12/1000</f>
        <v>0</v>
      </c>
      <c r="K461" s="223"/>
      <c r="L461" s="417"/>
      <c r="M461" s="458"/>
      <c r="N461" s="419"/>
      <c r="O461" s="420"/>
      <c r="P461" s="421"/>
      <c r="Q461" s="422"/>
      <c r="R461" s="221">
        <f>SUM(Q461:Q461)</f>
        <v>0</v>
      </c>
      <c r="S461" s="522"/>
      <c r="T461" s="526"/>
      <c r="U461" s="55">
        <f t="shared" si="8"/>
        <v>1.3008627290504997</v>
      </c>
    </row>
    <row r="462" spans="1:21">
      <c r="A462" s="453"/>
      <c r="B462" s="454"/>
      <c r="C462" s="455"/>
      <c r="D462" s="456"/>
      <c r="E462" s="233"/>
      <c r="F462" s="234"/>
      <c r="G462" s="235"/>
      <c r="H462" s="234"/>
      <c r="I462" s="236"/>
      <c r="J462" s="235"/>
      <c r="K462" s="237"/>
      <c r="L462" s="256"/>
      <c r="M462" s="462"/>
      <c r="N462" s="288"/>
      <c r="O462" s="288"/>
      <c r="P462" s="234"/>
      <c r="Q462" s="260"/>
      <c r="R462" s="233"/>
      <c r="S462" s="233"/>
      <c r="T462" s="261"/>
      <c r="U462" s="55">
        <f t="shared" si="8"/>
        <v>1.3008627290504997</v>
      </c>
    </row>
    <row r="463" spans="1:21" ht="12">
      <c r="A463" s="459">
        <f>A460+1</f>
        <v>7</v>
      </c>
      <c r="B463" s="536" t="s">
        <v>44</v>
      </c>
      <c r="C463" s="523" t="s">
        <v>203</v>
      </c>
      <c r="D463" s="460" t="s">
        <v>26</v>
      </c>
      <c r="E463" s="263">
        <f>13*3.6</f>
        <v>46.800000000000004</v>
      </c>
      <c r="F463" s="245"/>
      <c r="G463" s="210"/>
      <c r="H463" s="245"/>
      <c r="I463" s="209"/>
      <c r="J463" s="210">
        <v>0</v>
      </c>
      <c r="K463" s="211"/>
      <c r="L463" s="264"/>
      <c r="M463" s="457"/>
      <c r="N463" s="266"/>
      <c r="O463" s="266"/>
      <c r="P463" s="245"/>
      <c r="Q463" s="267"/>
      <c r="R463" s="217">
        <f>G464+J464</f>
        <v>0</v>
      </c>
      <c r="S463" s="521"/>
      <c r="T463" s="525"/>
      <c r="U463" s="55">
        <f t="shared" si="8"/>
        <v>1.3008627290504997</v>
      </c>
    </row>
    <row r="464" spans="1:21" ht="12">
      <c r="A464" s="450"/>
      <c r="B464" s="539"/>
      <c r="C464" s="524"/>
      <c r="D464" s="461"/>
      <c r="E464" s="221"/>
      <c r="F464" s="241"/>
      <c r="G464" s="210">
        <f>G463*$J$12/1000</f>
        <v>0</v>
      </c>
      <c r="H464" s="241"/>
      <c r="I464" s="222"/>
      <c r="J464" s="210">
        <f>J463*$Q$12/1000</f>
        <v>0</v>
      </c>
      <c r="K464" s="223"/>
      <c r="L464" s="537" t="s">
        <v>203</v>
      </c>
      <c r="M464" s="463" t="s">
        <v>27</v>
      </c>
      <c r="N464" s="270">
        <v>1</v>
      </c>
      <c r="O464" s="271">
        <f>E463*N464</f>
        <v>46.800000000000004</v>
      </c>
      <c r="P464" s="272">
        <v>4.3789999999999996</v>
      </c>
      <c r="Q464" s="273">
        <f>N464*P464*$N$10</f>
        <v>0</v>
      </c>
      <c r="R464" s="221">
        <f>SUM(Q464:Q464)</f>
        <v>0</v>
      </c>
      <c r="S464" s="522"/>
      <c r="T464" s="526"/>
      <c r="U464" s="55">
        <f t="shared" si="8"/>
        <v>1.3008627290504997</v>
      </c>
    </row>
    <row r="465" spans="1:21" ht="12" hidden="1">
      <c r="A465" s="450"/>
      <c r="B465" s="464"/>
      <c r="C465" s="524"/>
      <c r="D465" s="461"/>
      <c r="E465" s="221"/>
      <c r="F465" s="241"/>
      <c r="G465" s="275"/>
      <c r="H465" s="241"/>
      <c r="I465" s="222"/>
      <c r="J465" s="275"/>
      <c r="K465" s="223"/>
      <c r="L465" s="538"/>
      <c r="M465" s="465"/>
      <c r="N465" s="364"/>
      <c r="O465" s="364"/>
      <c r="P465" s="365"/>
      <c r="Q465" s="255"/>
      <c r="R465" s="221"/>
      <c r="S465" s="221"/>
      <c r="T465" s="228"/>
      <c r="U465" s="55">
        <f t="shared" si="8"/>
        <v>1.3008627290504997</v>
      </c>
    </row>
    <row r="466" spans="1:21">
      <c r="A466" s="453"/>
      <c r="B466" s="454"/>
      <c r="C466" s="455"/>
      <c r="D466" s="456"/>
      <c r="E466" s="233"/>
      <c r="F466" s="234"/>
      <c r="G466" s="235"/>
      <c r="H466" s="234"/>
      <c r="I466" s="236"/>
      <c r="J466" s="235"/>
      <c r="K466" s="237"/>
      <c r="L466" s="256"/>
      <c r="M466" s="462"/>
      <c r="N466" s="288"/>
      <c r="O466" s="288"/>
      <c r="P466" s="234"/>
      <c r="Q466" s="260"/>
      <c r="R466" s="233"/>
      <c r="S466" s="233"/>
      <c r="T466" s="261"/>
      <c r="U466" s="55">
        <f t="shared" si="8"/>
        <v>1.3008627290504997</v>
      </c>
    </row>
    <row r="467" spans="1:21" ht="12.75" customHeight="1">
      <c r="A467" s="459">
        <f>A463+1</f>
        <v>8</v>
      </c>
      <c r="B467" s="242" t="s">
        <v>168</v>
      </c>
      <c r="C467" s="523" t="s">
        <v>204</v>
      </c>
      <c r="D467" s="460" t="s">
        <v>33</v>
      </c>
      <c r="E467" s="244">
        <f>3.05*13/1000</f>
        <v>3.9649999999999998E-2</v>
      </c>
      <c r="F467" s="245"/>
      <c r="G467" s="210">
        <v>124</v>
      </c>
      <c r="H467" s="245"/>
      <c r="I467" s="209"/>
      <c r="J467" s="210">
        <v>1.4</v>
      </c>
      <c r="K467" s="211"/>
      <c r="L467" s="264"/>
      <c r="M467" s="457"/>
      <c r="N467" s="266"/>
      <c r="O467" s="266"/>
      <c r="P467" s="245"/>
      <c r="Q467" s="267"/>
      <c r="R467" s="217">
        <f>G468+J468</f>
        <v>0</v>
      </c>
      <c r="S467" s="521"/>
      <c r="T467" s="525"/>
      <c r="U467" s="55">
        <f t="shared" si="8"/>
        <v>1.3008627290504997</v>
      </c>
    </row>
    <row r="468" spans="1:21" ht="15" customHeight="1">
      <c r="A468" s="450"/>
      <c r="B468" s="249" t="s">
        <v>170</v>
      </c>
      <c r="C468" s="524"/>
      <c r="D468" s="461"/>
      <c r="E468" s="221"/>
      <c r="F468" s="241"/>
      <c r="G468" s="210">
        <f>G467*$J$12/1000</f>
        <v>0</v>
      </c>
      <c r="H468" s="241"/>
      <c r="I468" s="222"/>
      <c r="J468" s="210">
        <f>J467*$Q$12/1000</f>
        <v>0</v>
      </c>
      <c r="K468" s="223"/>
      <c r="L468" s="537" t="s">
        <v>205</v>
      </c>
      <c r="M468" s="463" t="s">
        <v>33</v>
      </c>
      <c r="N468" s="270">
        <v>1</v>
      </c>
      <c r="O468" s="271">
        <f>E467*N468</f>
        <v>3.9649999999999998E-2</v>
      </c>
      <c r="P468" s="272">
        <v>297.22199999999998</v>
      </c>
      <c r="Q468" s="273">
        <f>N468*P468*$N$10</f>
        <v>0</v>
      </c>
      <c r="R468" s="221">
        <f>SUM(Q468:Q468)</f>
        <v>0</v>
      </c>
      <c r="S468" s="522"/>
      <c r="T468" s="526"/>
      <c r="U468" s="55">
        <f t="shared" si="8"/>
        <v>1.3008627290504997</v>
      </c>
    </row>
    <row r="469" spans="1:21" ht="12" hidden="1">
      <c r="A469" s="450"/>
      <c r="B469" s="464"/>
      <c r="C469" s="524"/>
      <c r="D469" s="461"/>
      <c r="E469" s="221"/>
      <c r="F469" s="241"/>
      <c r="G469" s="275"/>
      <c r="H469" s="241"/>
      <c r="I469" s="222"/>
      <c r="J469" s="275"/>
      <c r="K469" s="223"/>
      <c r="L469" s="538"/>
      <c r="M469" s="465"/>
      <c r="N469" s="364"/>
      <c r="O469" s="364"/>
      <c r="P469" s="365"/>
      <c r="Q469" s="255"/>
      <c r="R469" s="221"/>
      <c r="S469" s="221"/>
      <c r="T469" s="228"/>
      <c r="U469" s="55">
        <f t="shared" si="8"/>
        <v>1.3008627290504997</v>
      </c>
    </row>
    <row r="470" spans="1:21">
      <c r="A470" s="453"/>
      <c r="B470" s="454"/>
      <c r="C470" s="455"/>
      <c r="D470" s="456"/>
      <c r="E470" s="233"/>
      <c r="F470" s="234"/>
      <c r="G470" s="235"/>
      <c r="H470" s="234"/>
      <c r="I470" s="236"/>
      <c r="J470" s="235"/>
      <c r="K470" s="237"/>
      <c r="L470" s="256"/>
      <c r="M470" s="462"/>
      <c r="N470" s="288"/>
      <c r="O470" s="288"/>
      <c r="P470" s="234"/>
      <c r="Q470" s="260"/>
      <c r="R470" s="233"/>
      <c r="S470" s="233"/>
      <c r="T470" s="261"/>
      <c r="U470" s="55">
        <f t="shared" ref="U470:U514" si="9">1.133*1.11*1.01*1.009*1.015</f>
        <v>1.3008627290504997</v>
      </c>
    </row>
    <row r="471" spans="1:21" ht="18" customHeight="1">
      <c r="A471" s="459">
        <f>A467+1</f>
        <v>9</v>
      </c>
      <c r="B471" s="242" t="s">
        <v>168</v>
      </c>
      <c r="C471" s="523" t="s">
        <v>206</v>
      </c>
      <c r="D471" s="460" t="s">
        <v>33</v>
      </c>
      <c r="E471" s="244">
        <f>3*13/1000</f>
        <v>3.9E-2</v>
      </c>
      <c r="F471" s="245"/>
      <c r="G471" s="210">
        <v>124</v>
      </c>
      <c r="H471" s="245"/>
      <c r="I471" s="209"/>
      <c r="J471" s="210">
        <v>1.4</v>
      </c>
      <c r="K471" s="211"/>
      <c r="L471" s="264"/>
      <c r="M471" s="457"/>
      <c r="N471" s="266"/>
      <c r="O471" s="266"/>
      <c r="P471" s="245"/>
      <c r="Q471" s="267"/>
      <c r="R471" s="217">
        <f>G472+J472</f>
        <v>0</v>
      </c>
      <c r="S471" s="521"/>
      <c r="T471" s="525"/>
      <c r="U471" s="55">
        <f t="shared" si="9"/>
        <v>1.3008627290504997</v>
      </c>
    </row>
    <row r="472" spans="1:21" ht="13.5" customHeight="1">
      <c r="A472" s="450"/>
      <c r="B472" s="249" t="s">
        <v>170</v>
      </c>
      <c r="C472" s="524"/>
      <c r="D472" s="461"/>
      <c r="E472" s="221"/>
      <c r="F472" s="241"/>
      <c r="G472" s="210">
        <f>G471*$J$12/1000</f>
        <v>0</v>
      </c>
      <c r="H472" s="241"/>
      <c r="I472" s="222"/>
      <c r="J472" s="210">
        <f>J471*$Q$12/1000</f>
        <v>0</v>
      </c>
      <c r="K472" s="223"/>
      <c r="L472" s="537" t="s">
        <v>206</v>
      </c>
      <c r="M472" s="463" t="s">
        <v>33</v>
      </c>
      <c r="N472" s="270">
        <v>1</v>
      </c>
      <c r="O472" s="271">
        <f>E471*N472</f>
        <v>3.9E-2</v>
      </c>
      <c r="P472" s="272">
        <v>400</v>
      </c>
      <c r="Q472" s="273">
        <f>N472*P472*$N$10</f>
        <v>0</v>
      </c>
      <c r="R472" s="221">
        <f>SUM(Q472:Q472)</f>
        <v>0</v>
      </c>
      <c r="S472" s="522"/>
      <c r="T472" s="526"/>
      <c r="U472" s="55">
        <f t="shared" si="9"/>
        <v>1.3008627290504997</v>
      </c>
    </row>
    <row r="473" spans="1:21" ht="12" hidden="1">
      <c r="A473" s="450"/>
      <c r="B473" s="464"/>
      <c r="C473" s="524"/>
      <c r="D473" s="461"/>
      <c r="E473" s="221"/>
      <c r="F473" s="241"/>
      <c r="G473" s="275"/>
      <c r="H473" s="241"/>
      <c r="I473" s="222"/>
      <c r="J473" s="275"/>
      <c r="K473" s="223"/>
      <c r="L473" s="538"/>
      <c r="M473" s="465"/>
      <c r="N473" s="364"/>
      <c r="O473" s="364"/>
      <c r="P473" s="365"/>
      <c r="Q473" s="255"/>
      <c r="R473" s="221"/>
      <c r="S473" s="221"/>
      <c r="T473" s="228"/>
      <c r="U473" s="55">
        <f t="shared" si="9"/>
        <v>1.3008627290504997</v>
      </c>
    </row>
    <row r="474" spans="1:21">
      <c r="A474" s="453"/>
      <c r="B474" s="454"/>
      <c r="C474" s="455"/>
      <c r="D474" s="456"/>
      <c r="E474" s="233"/>
      <c r="F474" s="234"/>
      <c r="G474" s="235"/>
      <c r="H474" s="234"/>
      <c r="I474" s="236"/>
      <c r="J474" s="235"/>
      <c r="K474" s="237"/>
      <c r="L474" s="256"/>
      <c r="M474" s="462"/>
      <c r="N474" s="288"/>
      <c r="O474" s="288"/>
      <c r="P474" s="234"/>
      <c r="Q474" s="260"/>
      <c r="R474" s="233"/>
      <c r="S474" s="233"/>
      <c r="T474" s="261"/>
      <c r="U474" s="55">
        <f t="shared" si="9"/>
        <v>1.3008627290504997</v>
      </c>
    </row>
    <row r="475" spans="1:21" ht="15" customHeight="1">
      <c r="A475" s="459">
        <v>10</v>
      </c>
      <c r="B475" s="242" t="s">
        <v>168</v>
      </c>
      <c r="C475" s="523" t="s">
        <v>169</v>
      </c>
      <c r="D475" s="460" t="s">
        <v>33</v>
      </c>
      <c r="E475" s="244">
        <f>3*13/1000</f>
        <v>3.9E-2</v>
      </c>
      <c r="F475" s="245"/>
      <c r="G475" s="210">
        <v>124</v>
      </c>
      <c r="H475" s="245"/>
      <c r="I475" s="209"/>
      <c r="J475" s="210">
        <v>1.4</v>
      </c>
      <c r="K475" s="211"/>
      <c r="L475" s="264"/>
      <c r="M475" s="457"/>
      <c r="N475" s="266"/>
      <c r="O475" s="266"/>
      <c r="P475" s="245"/>
      <c r="Q475" s="267"/>
      <c r="R475" s="217">
        <f>G476+J476</f>
        <v>0</v>
      </c>
      <c r="S475" s="521"/>
      <c r="T475" s="525"/>
      <c r="U475" s="55">
        <f t="shared" si="9"/>
        <v>1.3008627290504997</v>
      </c>
    </row>
    <row r="476" spans="1:21" ht="11.25" customHeight="1">
      <c r="A476" s="450"/>
      <c r="B476" s="249" t="s">
        <v>170</v>
      </c>
      <c r="C476" s="524"/>
      <c r="D476" s="461"/>
      <c r="E476" s="221"/>
      <c r="F476" s="241"/>
      <c r="G476" s="210">
        <f>G475*$J$12/1000</f>
        <v>0</v>
      </c>
      <c r="H476" s="241"/>
      <c r="I476" s="222"/>
      <c r="J476" s="210">
        <f>J475*$Q$12/1000</f>
        <v>0</v>
      </c>
      <c r="K476" s="223"/>
      <c r="L476" s="537" t="s">
        <v>171</v>
      </c>
      <c r="M476" s="463" t="s">
        <v>33</v>
      </c>
      <c r="N476" s="270">
        <v>1</v>
      </c>
      <c r="O476" s="271">
        <f>E475*N476</f>
        <v>3.9E-2</v>
      </c>
      <c r="P476" s="272">
        <v>438.88900000000001</v>
      </c>
      <c r="Q476" s="273">
        <f>N476*P476*$N$10</f>
        <v>0</v>
      </c>
      <c r="R476" s="221">
        <f>SUM(Q476:Q476)</f>
        <v>0</v>
      </c>
      <c r="S476" s="522"/>
      <c r="T476" s="526"/>
      <c r="U476" s="55">
        <f t="shared" si="9"/>
        <v>1.3008627290504997</v>
      </c>
    </row>
    <row r="477" spans="1:21" ht="12" hidden="1">
      <c r="A477" s="450"/>
      <c r="B477" s="464"/>
      <c r="C477" s="524"/>
      <c r="D477" s="461"/>
      <c r="E477" s="221"/>
      <c r="F477" s="241"/>
      <c r="G477" s="275"/>
      <c r="H477" s="241"/>
      <c r="I477" s="222"/>
      <c r="J477" s="275"/>
      <c r="K477" s="223"/>
      <c r="L477" s="538"/>
      <c r="M477" s="465"/>
      <c r="N477" s="364"/>
      <c r="O477" s="364"/>
      <c r="P477" s="365"/>
      <c r="Q477" s="255"/>
      <c r="R477" s="221"/>
      <c r="S477" s="221"/>
      <c r="T477" s="228"/>
      <c r="U477" s="55">
        <f t="shared" si="9"/>
        <v>1.3008627290504997</v>
      </c>
    </row>
    <row r="478" spans="1:21">
      <c r="A478" s="453"/>
      <c r="B478" s="454"/>
      <c r="C478" s="455"/>
      <c r="D478" s="456"/>
      <c r="E478" s="233"/>
      <c r="F478" s="234"/>
      <c r="G478" s="235"/>
      <c r="H478" s="234"/>
      <c r="I478" s="236"/>
      <c r="J478" s="235"/>
      <c r="K478" s="237"/>
      <c r="L478" s="256"/>
      <c r="M478" s="462"/>
      <c r="N478" s="288"/>
      <c r="O478" s="288"/>
      <c r="P478" s="234"/>
      <c r="Q478" s="260"/>
      <c r="R478" s="233"/>
      <c r="S478" s="233"/>
      <c r="T478" s="261"/>
      <c r="U478" s="55">
        <f t="shared" si="9"/>
        <v>1.3008627290504997</v>
      </c>
    </row>
    <row r="479" spans="1:21" ht="12">
      <c r="A479" s="447">
        <f>A475+1</f>
        <v>11</v>
      </c>
      <c r="B479" s="535" t="s">
        <v>172</v>
      </c>
      <c r="C479" s="524" t="s">
        <v>207</v>
      </c>
      <c r="D479" s="448" t="s">
        <v>27</v>
      </c>
      <c r="E479" s="221">
        <v>13</v>
      </c>
      <c r="F479" s="207"/>
      <c r="G479" s="208">
        <f>149/100</f>
        <v>1.49</v>
      </c>
      <c r="H479" s="207"/>
      <c r="I479" s="222"/>
      <c r="J479" s="208">
        <f>86/100</f>
        <v>0.86</v>
      </c>
      <c r="K479" s="223"/>
      <c r="L479" s="224"/>
      <c r="M479" s="451"/>
      <c r="N479" s="226"/>
      <c r="O479" s="226"/>
      <c r="P479" s="207"/>
      <c r="Q479" s="227"/>
      <c r="R479" s="233">
        <f>G480+J480</f>
        <v>0</v>
      </c>
      <c r="S479" s="521"/>
      <c r="T479" s="526"/>
      <c r="U479" s="55">
        <f t="shared" si="9"/>
        <v>1.3008627290504997</v>
      </c>
    </row>
    <row r="480" spans="1:21" ht="12">
      <c r="A480" s="450"/>
      <c r="B480" s="535"/>
      <c r="C480" s="524"/>
      <c r="D480" s="448"/>
      <c r="E480" s="221"/>
      <c r="F480" s="207"/>
      <c r="G480" s="210">
        <f>G479*$J$12/1000</f>
        <v>0</v>
      </c>
      <c r="H480" s="207"/>
      <c r="I480" s="222"/>
      <c r="J480" s="210">
        <f>J479*$Q$12/1000</f>
        <v>0</v>
      </c>
      <c r="K480" s="223"/>
      <c r="L480" s="268" t="s">
        <v>173</v>
      </c>
      <c r="M480" s="463" t="s">
        <v>27</v>
      </c>
      <c r="N480" s="270">
        <v>1</v>
      </c>
      <c r="O480" s="271">
        <f>E479*N480</f>
        <v>13</v>
      </c>
      <c r="P480" s="272">
        <v>23</v>
      </c>
      <c r="Q480" s="273">
        <f>N480*P480*$N$10</f>
        <v>0</v>
      </c>
      <c r="R480" s="221">
        <f>SUM(Q480:Q480)</f>
        <v>0</v>
      </c>
      <c r="S480" s="522"/>
      <c r="T480" s="526"/>
      <c r="U480" s="55">
        <f t="shared" si="9"/>
        <v>1.3008627290504997</v>
      </c>
    </row>
    <row r="481" spans="1:21">
      <c r="A481" s="453"/>
      <c r="B481" s="454"/>
      <c r="C481" s="455"/>
      <c r="D481" s="456"/>
      <c r="E481" s="233"/>
      <c r="F481" s="234"/>
      <c r="G481" s="235"/>
      <c r="H481" s="234"/>
      <c r="I481" s="236"/>
      <c r="J481" s="235"/>
      <c r="K481" s="237"/>
      <c r="L481" s="224"/>
      <c r="M481" s="451"/>
      <c r="N481" s="226"/>
      <c r="O481" s="226"/>
      <c r="P481" s="207"/>
      <c r="Q481" s="227"/>
      <c r="R481" s="221"/>
      <c r="S481" s="221"/>
      <c r="T481" s="228"/>
      <c r="U481" s="55">
        <f t="shared" si="9"/>
        <v>1.3008627290504997</v>
      </c>
    </row>
    <row r="482" spans="1:21" ht="12">
      <c r="A482" s="447">
        <f>A479+1</f>
        <v>12</v>
      </c>
      <c r="B482" s="536" t="s">
        <v>174</v>
      </c>
      <c r="C482" s="523" t="s">
        <v>175</v>
      </c>
      <c r="D482" s="448" t="s">
        <v>26</v>
      </c>
      <c r="E482" s="221">
        <v>140</v>
      </c>
      <c r="F482" s="207"/>
      <c r="G482" s="208">
        <f>8.07/100</f>
        <v>8.0700000000000008E-2</v>
      </c>
      <c r="H482" s="207"/>
      <c r="I482" s="222"/>
      <c r="J482" s="208">
        <f>5.15/100</f>
        <v>5.1500000000000004E-2</v>
      </c>
      <c r="K482" s="223"/>
      <c r="L482" s="212"/>
      <c r="M482" s="449"/>
      <c r="N482" s="214"/>
      <c r="O482" s="214"/>
      <c r="P482" s="215"/>
      <c r="Q482" s="216"/>
      <c r="R482" s="217">
        <f>G483+J483</f>
        <v>0</v>
      </c>
      <c r="S482" s="521"/>
      <c r="T482" s="218"/>
      <c r="U482" s="55">
        <f t="shared" si="9"/>
        <v>1.3008627290504997</v>
      </c>
    </row>
    <row r="483" spans="1:21" ht="15" customHeight="1">
      <c r="A483" s="450"/>
      <c r="B483" s="535"/>
      <c r="C483" s="524"/>
      <c r="D483" s="448"/>
      <c r="E483" s="221"/>
      <c r="F483" s="207"/>
      <c r="G483" s="210">
        <f>G482*$J$12/1000</f>
        <v>0</v>
      </c>
      <c r="H483" s="207"/>
      <c r="I483" s="222"/>
      <c r="J483" s="210">
        <f>J482*$Q$12/1000</f>
        <v>0</v>
      </c>
      <c r="K483" s="223"/>
      <c r="L483" s="466" t="s">
        <v>176</v>
      </c>
      <c r="M483" s="458" t="s">
        <v>26</v>
      </c>
      <c r="N483" s="419">
        <v>1.02</v>
      </c>
      <c r="O483" s="420">
        <f>E482*N483</f>
        <v>142.80000000000001</v>
      </c>
      <c r="P483" s="421">
        <v>2.089</v>
      </c>
      <c r="Q483" s="422">
        <f>N483*P483*$N$10</f>
        <v>0</v>
      </c>
      <c r="R483" s="221">
        <f>SUM(Q483:Q483)</f>
        <v>0</v>
      </c>
      <c r="S483" s="522"/>
      <c r="T483" s="228"/>
      <c r="U483" s="55">
        <f t="shared" si="9"/>
        <v>1.3008627290504997</v>
      </c>
    </row>
    <row r="484" spans="1:21">
      <c r="A484" s="453"/>
      <c r="B484" s="454"/>
      <c r="C484" s="455"/>
      <c r="D484" s="456"/>
      <c r="E484" s="233"/>
      <c r="F484" s="234"/>
      <c r="G484" s="235"/>
      <c r="H484" s="234"/>
      <c r="I484" s="236"/>
      <c r="J484" s="235"/>
      <c r="K484" s="237"/>
      <c r="L484" s="224"/>
      <c r="M484" s="451"/>
      <c r="N484" s="226"/>
      <c r="O484" s="226"/>
      <c r="P484" s="207"/>
      <c r="Q484" s="227"/>
      <c r="R484" s="221"/>
      <c r="S484" s="221"/>
      <c r="T484" s="228"/>
      <c r="U484" s="55">
        <f t="shared" si="9"/>
        <v>1.3008627290504997</v>
      </c>
    </row>
    <row r="485" spans="1:21" ht="12">
      <c r="A485" s="447">
        <f>A482+1</f>
        <v>13</v>
      </c>
      <c r="B485" s="536" t="s">
        <v>174</v>
      </c>
      <c r="C485" s="523" t="s">
        <v>177</v>
      </c>
      <c r="D485" s="448" t="s">
        <v>26</v>
      </c>
      <c r="E485" s="221">
        <v>140</v>
      </c>
      <c r="F485" s="207"/>
      <c r="G485" s="208">
        <f>8.07/100</f>
        <v>8.0700000000000008E-2</v>
      </c>
      <c r="H485" s="207"/>
      <c r="I485" s="222"/>
      <c r="J485" s="208">
        <f>5.15/100</f>
        <v>5.1500000000000004E-2</v>
      </c>
      <c r="K485" s="223"/>
      <c r="L485" s="212"/>
      <c r="M485" s="449"/>
      <c r="N485" s="214"/>
      <c r="O485" s="214"/>
      <c r="P485" s="215"/>
      <c r="Q485" s="216"/>
      <c r="R485" s="217">
        <f>G486+J486</f>
        <v>0</v>
      </c>
      <c r="S485" s="521"/>
      <c r="T485" s="218"/>
      <c r="U485" s="55">
        <f t="shared" si="9"/>
        <v>1.3008627290504997</v>
      </c>
    </row>
    <row r="486" spans="1:21" ht="13.5" customHeight="1">
      <c r="A486" s="450"/>
      <c r="B486" s="535"/>
      <c r="C486" s="524"/>
      <c r="D486" s="448"/>
      <c r="E486" s="221"/>
      <c r="F486" s="207"/>
      <c r="G486" s="210">
        <f>G485*$J$12/1000</f>
        <v>0</v>
      </c>
      <c r="H486" s="207"/>
      <c r="I486" s="222"/>
      <c r="J486" s="210">
        <f>J485*$Q$12/1000</f>
        <v>0</v>
      </c>
      <c r="K486" s="223"/>
      <c r="L486" s="466" t="s">
        <v>178</v>
      </c>
      <c r="M486" s="458" t="s">
        <v>26</v>
      </c>
      <c r="N486" s="419">
        <v>1.02</v>
      </c>
      <c r="O486" s="420">
        <f>E485*N486</f>
        <v>142.80000000000001</v>
      </c>
      <c r="P486" s="421">
        <v>0.94</v>
      </c>
      <c r="Q486" s="422">
        <f>N486*P486*$N$10</f>
        <v>0</v>
      </c>
      <c r="R486" s="221">
        <f>SUM(Q486:Q486)</f>
        <v>0</v>
      </c>
      <c r="S486" s="522"/>
      <c r="T486" s="228"/>
      <c r="U486" s="55">
        <f t="shared" si="9"/>
        <v>1.3008627290504997</v>
      </c>
    </row>
    <row r="487" spans="1:21">
      <c r="A487" s="453"/>
      <c r="B487" s="454"/>
      <c r="C487" s="455"/>
      <c r="D487" s="456"/>
      <c r="E487" s="233"/>
      <c r="F487" s="234"/>
      <c r="G487" s="235"/>
      <c r="H487" s="234"/>
      <c r="I487" s="236"/>
      <c r="J487" s="235"/>
      <c r="K487" s="237"/>
      <c r="L487" s="224"/>
      <c r="M487" s="451"/>
      <c r="N487" s="226"/>
      <c r="O487" s="226"/>
      <c r="P487" s="207"/>
      <c r="Q487" s="227"/>
      <c r="R487" s="221"/>
      <c r="S487" s="221"/>
      <c r="T487" s="228"/>
      <c r="U487" s="55">
        <f t="shared" si="9"/>
        <v>1.3008627290504997</v>
      </c>
    </row>
    <row r="488" spans="1:21" ht="18.75" customHeight="1">
      <c r="A488" s="447">
        <f>A500+1</f>
        <v>16</v>
      </c>
      <c r="B488" s="204" t="s">
        <v>182</v>
      </c>
      <c r="C488" s="523" t="s">
        <v>198</v>
      </c>
      <c r="D488" s="448" t="s">
        <v>27</v>
      </c>
      <c r="E488" s="467">
        <v>26</v>
      </c>
      <c r="F488" s="207"/>
      <c r="G488" s="208">
        <v>0</v>
      </c>
      <c r="H488" s="207"/>
      <c r="I488" s="222"/>
      <c r="J488" s="208">
        <v>0</v>
      </c>
      <c r="K488" s="223"/>
      <c r="L488" s="264"/>
      <c r="M488" s="457"/>
      <c r="N488" s="266"/>
      <c r="O488" s="266"/>
      <c r="P488" s="245"/>
      <c r="Q488" s="267"/>
      <c r="R488" s="217">
        <f>G489+J489</f>
        <v>0</v>
      </c>
      <c r="S488" s="521"/>
      <c r="T488" s="525"/>
      <c r="U488" s="55">
        <f t="shared" si="9"/>
        <v>1.3008627290504997</v>
      </c>
    </row>
    <row r="489" spans="1:21" ht="12">
      <c r="A489" s="450"/>
      <c r="B489" s="468"/>
      <c r="C489" s="524"/>
      <c r="D489" s="448"/>
      <c r="E489" s="221"/>
      <c r="F489" s="207"/>
      <c r="G489" s="210">
        <f>G488*$J$12/1000</f>
        <v>0</v>
      </c>
      <c r="H489" s="207"/>
      <c r="I489" s="222"/>
      <c r="J489" s="210">
        <f>J488*$Q$12/1000</f>
        <v>0</v>
      </c>
      <c r="K489" s="223"/>
      <c r="L489" s="417" t="s">
        <v>199</v>
      </c>
      <c r="M489" s="469" t="s">
        <v>27</v>
      </c>
      <c r="N489" s="470">
        <v>1</v>
      </c>
      <c r="O489" s="471">
        <f>E488*N489</f>
        <v>26</v>
      </c>
      <c r="P489" s="421">
        <v>0.2</v>
      </c>
      <c r="Q489" s="422">
        <f>N489*P489*$N$10</f>
        <v>0</v>
      </c>
      <c r="R489" s="221">
        <f>SUM(Q489:Q489)</f>
        <v>0</v>
      </c>
      <c r="S489" s="522"/>
      <c r="T489" s="526"/>
      <c r="U489" s="55">
        <f t="shared" si="9"/>
        <v>1.3008627290504997</v>
      </c>
    </row>
    <row r="490" spans="1:21">
      <c r="A490" s="453"/>
      <c r="B490" s="454"/>
      <c r="C490" s="455"/>
      <c r="D490" s="456"/>
      <c r="E490" s="233"/>
      <c r="F490" s="234"/>
      <c r="G490" s="235"/>
      <c r="H490" s="234"/>
      <c r="I490" s="236"/>
      <c r="J490" s="235"/>
      <c r="K490" s="237"/>
      <c r="L490" s="224"/>
      <c r="M490" s="451"/>
      <c r="N490" s="226"/>
      <c r="O490" s="226"/>
      <c r="P490" s="207"/>
      <c r="Q490" s="227"/>
      <c r="R490" s="221"/>
      <c r="S490" s="221"/>
      <c r="T490" s="228"/>
      <c r="U490" s="55">
        <f t="shared" si="9"/>
        <v>1.3008627290504997</v>
      </c>
    </row>
    <row r="491" spans="1:21" ht="12">
      <c r="A491" s="459">
        <f>A512+1</f>
        <v>17</v>
      </c>
      <c r="B491" s="536" t="s">
        <v>189</v>
      </c>
      <c r="C491" s="523" t="s">
        <v>190</v>
      </c>
      <c r="D491" s="460" t="s">
        <v>27</v>
      </c>
      <c r="E491" s="263">
        <v>13</v>
      </c>
      <c r="F491" s="245"/>
      <c r="G491" s="210"/>
      <c r="H491" s="245"/>
      <c r="I491" s="209"/>
      <c r="J491" s="210"/>
      <c r="K491" s="211"/>
      <c r="L491" s="264"/>
      <c r="M491" s="457"/>
      <c r="N491" s="266"/>
      <c r="O491" s="266"/>
      <c r="P491" s="245"/>
      <c r="Q491" s="267"/>
      <c r="R491" s="217">
        <f>G492+J492</f>
        <v>0</v>
      </c>
      <c r="S491" s="521"/>
      <c r="T491" s="525"/>
      <c r="U491" s="55">
        <f t="shared" si="9"/>
        <v>1.3008627290504997</v>
      </c>
    </row>
    <row r="492" spans="1:21" ht="14.25" customHeight="1">
      <c r="A492" s="450"/>
      <c r="B492" s="535"/>
      <c r="C492" s="524"/>
      <c r="D492" s="448"/>
      <c r="E492" s="221"/>
      <c r="F492" s="207"/>
      <c r="G492" s="210"/>
      <c r="H492" s="207"/>
      <c r="I492" s="222"/>
      <c r="J492" s="210"/>
      <c r="K492" s="223"/>
      <c r="L492" s="268" t="s">
        <v>191</v>
      </c>
      <c r="M492" s="463" t="s">
        <v>27</v>
      </c>
      <c r="N492" s="270">
        <v>1</v>
      </c>
      <c r="O492" s="271">
        <f>E491*N492</f>
        <v>13</v>
      </c>
      <c r="P492" s="272">
        <v>0.3</v>
      </c>
      <c r="Q492" s="273">
        <f>N492*P492*$N$10</f>
        <v>0</v>
      </c>
      <c r="R492" s="221">
        <f>SUM(Q492:Q492)</f>
        <v>0</v>
      </c>
      <c r="S492" s="522"/>
      <c r="T492" s="526"/>
      <c r="U492" s="55">
        <f t="shared" si="9"/>
        <v>1.3008627290504997</v>
      </c>
    </row>
    <row r="493" spans="1:21">
      <c r="A493" s="453"/>
      <c r="B493" s="454"/>
      <c r="C493" s="455"/>
      <c r="D493" s="456"/>
      <c r="E493" s="233"/>
      <c r="F493" s="234"/>
      <c r="G493" s="235"/>
      <c r="H493" s="234"/>
      <c r="I493" s="236"/>
      <c r="J493" s="235"/>
      <c r="K493" s="237"/>
      <c r="L493" s="256"/>
      <c r="M493" s="462"/>
      <c r="N493" s="288"/>
      <c r="O493" s="288"/>
      <c r="P493" s="234"/>
      <c r="Q493" s="260"/>
      <c r="R493" s="233"/>
      <c r="S493" s="233"/>
      <c r="T493" s="261"/>
      <c r="U493" s="55">
        <f t="shared" si="9"/>
        <v>1.3008627290504997</v>
      </c>
    </row>
    <row r="494" spans="1:21" ht="12">
      <c r="A494" s="447">
        <f>A500+1</f>
        <v>16</v>
      </c>
      <c r="B494" s="536" t="s">
        <v>201</v>
      </c>
      <c r="C494" s="523" t="s">
        <v>200</v>
      </c>
      <c r="D494" s="448" t="s">
        <v>27</v>
      </c>
      <c r="E494" s="221">
        <v>65</v>
      </c>
      <c r="F494" s="207"/>
      <c r="G494" s="208">
        <v>0.4</v>
      </c>
      <c r="H494" s="207"/>
      <c r="I494" s="222"/>
      <c r="J494" s="208"/>
      <c r="K494" s="223"/>
      <c r="L494" s="212"/>
      <c r="M494" s="449"/>
      <c r="N494" s="214"/>
      <c r="O494" s="214"/>
      <c r="P494" s="215"/>
      <c r="Q494" s="216"/>
      <c r="R494" s="217">
        <f>G495+J495</f>
        <v>0</v>
      </c>
      <c r="S494" s="521"/>
      <c r="T494" s="218"/>
      <c r="U494" s="55">
        <f t="shared" si="9"/>
        <v>1.3008627290504997</v>
      </c>
    </row>
    <row r="495" spans="1:21" ht="12">
      <c r="A495" s="450"/>
      <c r="B495" s="535"/>
      <c r="C495" s="524"/>
      <c r="D495" s="448"/>
      <c r="E495" s="221"/>
      <c r="F495" s="207"/>
      <c r="G495" s="210">
        <f>G494*$J$12/1000</f>
        <v>0</v>
      </c>
      <c r="H495" s="207"/>
      <c r="I495" s="222"/>
      <c r="J495" s="210">
        <f>J494*$Q$12/1000</f>
        <v>0</v>
      </c>
      <c r="K495" s="223"/>
      <c r="L495" s="417"/>
      <c r="M495" s="458"/>
      <c r="N495" s="419"/>
      <c r="O495" s="420"/>
      <c r="P495" s="421"/>
      <c r="Q495" s="422"/>
      <c r="R495" s="221">
        <f>SUM(Q495:Q495)</f>
        <v>0</v>
      </c>
      <c r="S495" s="522"/>
      <c r="T495" s="228"/>
      <c r="U495" s="55">
        <f t="shared" si="9"/>
        <v>1.3008627290504997</v>
      </c>
    </row>
    <row r="496" spans="1:21">
      <c r="A496" s="453"/>
      <c r="B496" s="454"/>
      <c r="C496" s="455"/>
      <c r="D496" s="456"/>
      <c r="E496" s="233"/>
      <c r="F496" s="234"/>
      <c r="G496" s="235"/>
      <c r="H496" s="234"/>
      <c r="I496" s="236"/>
      <c r="J496" s="235"/>
      <c r="K496" s="237"/>
      <c r="L496" s="224"/>
      <c r="M496" s="451"/>
      <c r="N496" s="226"/>
      <c r="O496" s="226"/>
      <c r="P496" s="207"/>
      <c r="Q496" s="227"/>
      <c r="R496" s="221"/>
      <c r="S496" s="221"/>
      <c r="T496" s="228"/>
      <c r="U496" s="55">
        <f t="shared" si="9"/>
        <v>1.3008627290504997</v>
      </c>
    </row>
    <row r="497" spans="1:21" ht="12">
      <c r="A497" s="447">
        <f>A485+1</f>
        <v>14</v>
      </c>
      <c r="B497" s="536" t="s">
        <v>179</v>
      </c>
      <c r="C497" s="523" t="s">
        <v>180</v>
      </c>
      <c r="D497" s="448" t="s">
        <v>24</v>
      </c>
      <c r="E497" s="221">
        <f>13*7.6/100</f>
        <v>0.98799999999999999</v>
      </c>
      <c r="F497" s="207"/>
      <c r="G497" s="208">
        <v>6.24</v>
      </c>
      <c r="H497" s="207"/>
      <c r="I497" s="222"/>
      <c r="J497" s="208">
        <v>0.27</v>
      </c>
      <c r="K497" s="223"/>
      <c r="L497" s="212"/>
      <c r="M497" s="449"/>
      <c r="N497" s="214"/>
      <c r="O497" s="214"/>
      <c r="P497" s="215"/>
      <c r="Q497" s="216"/>
      <c r="R497" s="217">
        <f>G498+J498</f>
        <v>0</v>
      </c>
      <c r="S497" s="521"/>
      <c r="T497" s="218"/>
      <c r="U497" s="55">
        <f t="shared" si="9"/>
        <v>1.3008627290504997</v>
      </c>
    </row>
    <row r="498" spans="1:21" ht="12">
      <c r="A498" s="450"/>
      <c r="B498" s="535"/>
      <c r="C498" s="524"/>
      <c r="D498" s="448"/>
      <c r="E498" s="221"/>
      <c r="F498" s="207"/>
      <c r="G498" s="210">
        <f>G497*$J$12/1000</f>
        <v>0</v>
      </c>
      <c r="H498" s="207"/>
      <c r="I498" s="222"/>
      <c r="J498" s="210">
        <f>J497*$Q$12/1000</f>
        <v>0</v>
      </c>
      <c r="K498" s="223"/>
      <c r="L498" s="417" t="s">
        <v>181</v>
      </c>
      <c r="M498" s="458" t="s">
        <v>26</v>
      </c>
      <c r="N498" s="419">
        <v>102</v>
      </c>
      <c r="O498" s="420">
        <f>E497*N498</f>
        <v>100.776</v>
      </c>
      <c r="P498" s="421">
        <v>0.248</v>
      </c>
      <c r="Q498" s="422">
        <f>N498*P498*$N$10</f>
        <v>0</v>
      </c>
      <c r="R498" s="221">
        <f>SUM(Q498:Q498)</f>
        <v>0</v>
      </c>
      <c r="S498" s="522"/>
      <c r="T498" s="228"/>
      <c r="U498" s="55">
        <f t="shared" si="9"/>
        <v>1.3008627290504997</v>
      </c>
    </row>
    <row r="499" spans="1:21">
      <c r="A499" s="453"/>
      <c r="B499" s="454"/>
      <c r="C499" s="455"/>
      <c r="D499" s="456"/>
      <c r="E499" s="233"/>
      <c r="F499" s="234"/>
      <c r="G499" s="235"/>
      <c r="H499" s="234"/>
      <c r="I499" s="236"/>
      <c r="J499" s="235"/>
      <c r="K499" s="237"/>
      <c r="L499" s="224"/>
      <c r="M499" s="451"/>
      <c r="N499" s="226"/>
      <c r="O499" s="226"/>
      <c r="P499" s="207"/>
      <c r="Q499" s="227"/>
      <c r="R499" s="221"/>
      <c r="S499" s="221"/>
      <c r="T499" s="228"/>
      <c r="U499" s="55">
        <f t="shared" si="9"/>
        <v>1.3008627290504997</v>
      </c>
    </row>
    <row r="500" spans="1:21" ht="16.5" customHeight="1">
      <c r="A500" s="447">
        <f>A497+1</f>
        <v>15</v>
      </c>
      <c r="B500" s="204" t="s">
        <v>182</v>
      </c>
      <c r="C500" s="523" t="s">
        <v>183</v>
      </c>
      <c r="D500" s="448" t="s">
        <v>27</v>
      </c>
      <c r="E500" s="467">
        <v>13</v>
      </c>
      <c r="F500" s="207"/>
      <c r="G500" s="208">
        <v>0</v>
      </c>
      <c r="H500" s="207"/>
      <c r="I500" s="222"/>
      <c r="J500" s="208">
        <v>0</v>
      </c>
      <c r="K500" s="223"/>
      <c r="L500" s="264"/>
      <c r="M500" s="457"/>
      <c r="N500" s="266"/>
      <c r="O500" s="266"/>
      <c r="P500" s="245"/>
      <c r="Q500" s="267"/>
      <c r="R500" s="217">
        <f>G501+J501</f>
        <v>0</v>
      </c>
      <c r="S500" s="521"/>
      <c r="T500" s="525"/>
      <c r="U500" s="55">
        <f t="shared" si="9"/>
        <v>1.3008627290504997</v>
      </c>
    </row>
    <row r="501" spans="1:21" ht="12">
      <c r="A501" s="450"/>
      <c r="B501" s="468"/>
      <c r="C501" s="524"/>
      <c r="D501" s="448"/>
      <c r="E501" s="221"/>
      <c r="F501" s="207"/>
      <c r="G501" s="210">
        <f>G500*$J$12/1000</f>
        <v>0</v>
      </c>
      <c r="H501" s="207"/>
      <c r="I501" s="222"/>
      <c r="J501" s="210">
        <f>J500*$Q$12/1000</f>
        <v>0</v>
      </c>
      <c r="K501" s="223"/>
      <c r="L501" s="417" t="s">
        <v>184</v>
      </c>
      <c r="M501" s="469" t="s">
        <v>27</v>
      </c>
      <c r="N501" s="470">
        <v>1</v>
      </c>
      <c r="O501" s="471">
        <f>E500*N501</f>
        <v>13</v>
      </c>
      <c r="P501" s="421">
        <v>1.79</v>
      </c>
      <c r="Q501" s="422">
        <f>N501*P501*$N$10</f>
        <v>0</v>
      </c>
      <c r="R501" s="221">
        <f>SUM(Q501:Q501)</f>
        <v>0</v>
      </c>
      <c r="S501" s="522"/>
      <c r="T501" s="526"/>
      <c r="U501" s="55">
        <f t="shared" si="9"/>
        <v>1.3008627290504997</v>
      </c>
    </row>
    <row r="502" spans="1:21">
      <c r="A502" s="453"/>
      <c r="B502" s="454"/>
      <c r="C502" s="455"/>
      <c r="D502" s="456"/>
      <c r="E502" s="233"/>
      <c r="F502" s="234"/>
      <c r="G502" s="235"/>
      <c r="H502" s="234"/>
      <c r="I502" s="236"/>
      <c r="J502" s="235"/>
      <c r="K502" s="237"/>
      <c r="L502" s="224"/>
      <c r="M502" s="451"/>
      <c r="N502" s="226"/>
      <c r="O502" s="226"/>
      <c r="P502" s="207"/>
      <c r="Q502" s="227"/>
      <c r="R502" s="221"/>
      <c r="S502" s="221"/>
      <c r="T502" s="228"/>
      <c r="U502" s="55">
        <f t="shared" si="9"/>
        <v>1.3008627290504997</v>
      </c>
    </row>
    <row r="503" spans="1:21" ht="12">
      <c r="A503" s="447">
        <f>A491+1</f>
        <v>18</v>
      </c>
      <c r="B503" s="535" t="s">
        <v>192</v>
      </c>
      <c r="C503" s="523" t="s">
        <v>193</v>
      </c>
      <c r="D503" s="448" t="s">
        <v>24</v>
      </c>
      <c r="E503" s="221">
        <f>150/100</f>
        <v>1.5</v>
      </c>
      <c r="F503" s="207"/>
      <c r="G503" s="208">
        <v>3.01</v>
      </c>
      <c r="H503" s="207"/>
      <c r="I503" s="222"/>
      <c r="J503" s="208">
        <v>2.98</v>
      </c>
      <c r="K503" s="223"/>
      <c r="L503" s="264"/>
      <c r="M503" s="457"/>
      <c r="N503" s="266"/>
      <c r="O503" s="292"/>
      <c r="P503" s="245"/>
      <c r="Q503" s="267"/>
      <c r="R503" s="217">
        <f>G504+J504</f>
        <v>0</v>
      </c>
      <c r="S503" s="521"/>
      <c r="T503" s="525"/>
      <c r="U503" s="55">
        <f t="shared" si="9"/>
        <v>1.3008627290504997</v>
      </c>
    </row>
    <row r="504" spans="1:21" ht="12">
      <c r="A504" s="450"/>
      <c r="B504" s="535"/>
      <c r="C504" s="524"/>
      <c r="D504" s="448"/>
      <c r="E504" s="221"/>
      <c r="F504" s="207"/>
      <c r="G504" s="210">
        <f>G503*$J$12/1000</f>
        <v>0</v>
      </c>
      <c r="H504" s="207"/>
      <c r="I504" s="222"/>
      <c r="J504" s="210">
        <f>J503*$Q$12/1000</f>
        <v>0</v>
      </c>
      <c r="K504" s="223"/>
      <c r="L504" s="417"/>
      <c r="M504" s="469"/>
      <c r="N504" s="470"/>
      <c r="O504" s="470"/>
      <c r="P504" s="421"/>
      <c r="Q504" s="422"/>
      <c r="R504" s="472">
        <f>SUM(Q504:Q504)</f>
        <v>0</v>
      </c>
      <c r="S504" s="522"/>
      <c r="T504" s="526"/>
      <c r="U504" s="55">
        <f t="shared" si="9"/>
        <v>1.3008627290504997</v>
      </c>
    </row>
    <row r="505" spans="1:21">
      <c r="A505" s="453"/>
      <c r="B505" s="454"/>
      <c r="C505" s="455"/>
      <c r="D505" s="456"/>
      <c r="E505" s="233"/>
      <c r="F505" s="234"/>
      <c r="G505" s="235"/>
      <c r="H505" s="234"/>
      <c r="I505" s="236"/>
      <c r="J505" s="235"/>
      <c r="K505" s="237"/>
      <c r="L505" s="224"/>
      <c r="M505" s="451"/>
      <c r="N505" s="226"/>
      <c r="O505" s="452"/>
      <c r="P505" s="207"/>
      <c r="Q505" s="227"/>
      <c r="R505" s="221"/>
      <c r="S505" s="221"/>
      <c r="T505" s="228"/>
      <c r="U505" s="55">
        <f t="shared" si="9"/>
        <v>1.3008627290504997</v>
      </c>
    </row>
    <row r="506" spans="1:21" ht="15.75" customHeight="1">
      <c r="A506" s="447">
        <f>A503+1</f>
        <v>19</v>
      </c>
      <c r="B506" s="204" t="s">
        <v>124</v>
      </c>
      <c r="C506" s="523" t="s">
        <v>196</v>
      </c>
      <c r="D506" s="448" t="s">
        <v>31</v>
      </c>
      <c r="E506" s="296">
        <f>4.5/100</f>
        <v>4.4999999999999998E-2</v>
      </c>
      <c r="F506" s="207"/>
      <c r="G506" s="208">
        <v>205</v>
      </c>
      <c r="H506" s="207"/>
      <c r="I506" s="222"/>
      <c r="J506" s="208"/>
      <c r="K506" s="223"/>
      <c r="L506" s="212"/>
      <c r="M506" s="449"/>
      <c r="N506" s="214"/>
      <c r="O506" s="424"/>
      <c r="P506" s="215"/>
      <c r="Q506" s="216"/>
      <c r="R506" s="217">
        <f>G507+J507</f>
        <v>0</v>
      </c>
      <c r="S506" s="521"/>
      <c r="T506" s="218"/>
      <c r="U506" s="55">
        <f t="shared" si="9"/>
        <v>1.3008627290504997</v>
      </c>
    </row>
    <row r="507" spans="1:21" ht="12">
      <c r="A507" s="450"/>
      <c r="B507" s="204"/>
      <c r="C507" s="524"/>
      <c r="D507" s="448"/>
      <c r="E507" s="221"/>
      <c r="F507" s="207"/>
      <c r="G507" s="210">
        <f>G506*$J$12/1000</f>
        <v>0</v>
      </c>
      <c r="H507" s="207"/>
      <c r="I507" s="222"/>
      <c r="J507" s="210">
        <f>J506*$Q$12/1000</f>
        <v>0</v>
      </c>
      <c r="K507" s="223"/>
      <c r="L507" s="224"/>
      <c r="M507" s="451"/>
      <c r="N507" s="226"/>
      <c r="O507" s="452"/>
      <c r="P507" s="207"/>
      <c r="Q507" s="227"/>
      <c r="R507" s="221"/>
      <c r="S507" s="522"/>
      <c r="T507" s="228"/>
      <c r="U507" s="55">
        <f t="shared" si="9"/>
        <v>1.3008627290504997</v>
      </c>
    </row>
    <row r="508" spans="1:21">
      <c r="A508" s="453"/>
      <c r="B508" s="454"/>
      <c r="C508" s="455"/>
      <c r="D508" s="456"/>
      <c r="E508" s="233"/>
      <c r="F508" s="234"/>
      <c r="G508" s="235"/>
      <c r="H508" s="234"/>
      <c r="I508" s="236"/>
      <c r="J508" s="235"/>
      <c r="K508" s="237"/>
      <c r="L508" s="224"/>
      <c r="M508" s="451"/>
      <c r="N508" s="226"/>
      <c r="O508" s="452"/>
      <c r="P508" s="207"/>
      <c r="Q508" s="227"/>
      <c r="R508" s="221"/>
      <c r="S508" s="221"/>
      <c r="T508" s="228"/>
      <c r="U508" s="55">
        <f t="shared" si="9"/>
        <v>1.3008627290504997</v>
      </c>
    </row>
    <row r="509" spans="1:21" ht="15.75" customHeight="1">
      <c r="A509" s="447">
        <f>A506+1</f>
        <v>20</v>
      </c>
      <c r="B509" s="204" t="s">
        <v>197</v>
      </c>
      <c r="C509" s="523" t="s">
        <v>194</v>
      </c>
      <c r="D509" s="448" t="s">
        <v>31</v>
      </c>
      <c r="E509" s="296">
        <f>E506</f>
        <v>4.4999999999999998E-2</v>
      </c>
      <c r="F509" s="207"/>
      <c r="G509" s="208">
        <v>56.2</v>
      </c>
      <c r="H509" s="207"/>
      <c r="I509" s="222"/>
      <c r="J509" s="208"/>
      <c r="K509" s="223"/>
      <c r="L509" s="212"/>
      <c r="M509" s="449"/>
      <c r="N509" s="214"/>
      <c r="O509" s="424"/>
      <c r="P509" s="215"/>
      <c r="Q509" s="216"/>
      <c r="R509" s="217">
        <f>G510+J510</f>
        <v>0</v>
      </c>
      <c r="S509" s="521"/>
      <c r="T509" s="218"/>
      <c r="U509" s="55">
        <f t="shared" si="9"/>
        <v>1.3008627290504997</v>
      </c>
    </row>
    <row r="510" spans="1:21" ht="12">
      <c r="A510" s="450"/>
      <c r="B510" s="204"/>
      <c r="C510" s="524"/>
      <c r="D510" s="448"/>
      <c r="E510" s="221"/>
      <c r="F510" s="207"/>
      <c r="G510" s="210">
        <f>G509*$J$12/1000</f>
        <v>0</v>
      </c>
      <c r="H510" s="207"/>
      <c r="I510" s="222"/>
      <c r="J510" s="210">
        <f>J509*$Q$12/1000</f>
        <v>0</v>
      </c>
      <c r="K510" s="223"/>
      <c r="L510" s="224"/>
      <c r="M510" s="451"/>
      <c r="N510" s="226"/>
      <c r="O510" s="452"/>
      <c r="P510" s="207"/>
      <c r="Q510" s="227"/>
      <c r="R510" s="221"/>
      <c r="S510" s="522"/>
      <c r="T510" s="228"/>
      <c r="U510" s="55">
        <f t="shared" si="9"/>
        <v>1.3008627290504997</v>
      </c>
    </row>
    <row r="511" spans="1:21">
      <c r="A511" s="453"/>
      <c r="B511" s="454"/>
      <c r="C511" s="455"/>
      <c r="D511" s="456"/>
      <c r="E511" s="233"/>
      <c r="F511" s="234"/>
      <c r="G511" s="235"/>
      <c r="H511" s="234"/>
      <c r="I511" s="236"/>
      <c r="J511" s="235"/>
      <c r="K511" s="237"/>
      <c r="L511" s="224"/>
      <c r="M511" s="451"/>
      <c r="N511" s="226"/>
      <c r="O511" s="452"/>
      <c r="P511" s="207"/>
      <c r="Q511" s="227"/>
      <c r="R511" s="221"/>
      <c r="S511" s="221"/>
      <c r="T511" s="228"/>
      <c r="U511" s="55">
        <f t="shared" si="9"/>
        <v>1.3008627290504997</v>
      </c>
    </row>
    <row r="512" spans="1:21" ht="19.5" customHeight="1">
      <c r="A512" s="447">
        <f>A500+1</f>
        <v>16</v>
      </c>
      <c r="B512" s="204" t="s">
        <v>185</v>
      </c>
      <c r="C512" s="523" t="s">
        <v>186</v>
      </c>
      <c r="D512" s="448" t="s">
        <v>42</v>
      </c>
      <c r="E512" s="296">
        <f>1.44*13/100</f>
        <v>0.18719999999999998</v>
      </c>
      <c r="F512" s="207"/>
      <c r="G512" s="208">
        <v>21.4</v>
      </c>
      <c r="H512" s="207"/>
      <c r="I512" s="222"/>
      <c r="J512" s="208">
        <v>0.03</v>
      </c>
      <c r="K512" s="223"/>
      <c r="L512" s="264"/>
      <c r="M512" s="457"/>
      <c r="N512" s="266"/>
      <c r="O512" s="292"/>
      <c r="P512" s="245"/>
      <c r="Q512" s="267"/>
      <c r="R512" s="217">
        <f>G513+J513</f>
        <v>0</v>
      </c>
      <c r="S512" s="521"/>
      <c r="T512" s="525"/>
      <c r="U512" s="55">
        <f t="shared" si="9"/>
        <v>1.3008627290504997</v>
      </c>
    </row>
    <row r="513" spans="1:21" ht="17.25" customHeight="1">
      <c r="A513" s="450"/>
      <c r="B513" s="204" t="s">
        <v>187</v>
      </c>
      <c r="C513" s="524"/>
      <c r="D513" s="448"/>
      <c r="E513" s="221"/>
      <c r="F513" s="207"/>
      <c r="G513" s="210">
        <f>G512*$J$12/1000</f>
        <v>0</v>
      </c>
      <c r="H513" s="207"/>
      <c r="I513" s="222"/>
      <c r="J513" s="210">
        <f>J512*$Q$12/1000</f>
        <v>0</v>
      </c>
      <c r="K513" s="223"/>
      <c r="L513" s="417" t="s">
        <v>188</v>
      </c>
      <c r="M513" s="458" t="s">
        <v>39</v>
      </c>
      <c r="N513" s="419">
        <v>27.3</v>
      </c>
      <c r="O513" s="419">
        <f>E512*N513</f>
        <v>5.1105599999999995</v>
      </c>
      <c r="P513" s="421">
        <v>1</v>
      </c>
      <c r="Q513" s="422">
        <f>N513*P513*$N$10</f>
        <v>0</v>
      </c>
      <c r="R513" s="221">
        <f>SUM(Q513:Q513)</f>
        <v>0</v>
      </c>
      <c r="S513" s="522"/>
      <c r="T513" s="526"/>
      <c r="U513" s="55">
        <f t="shared" si="9"/>
        <v>1.3008627290504997</v>
      </c>
    </row>
    <row r="514" spans="1:21">
      <c r="A514" s="453"/>
      <c r="B514" s="454"/>
      <c r="C514" s="455"/>
      <c r="D514" s="456"/>
      <c r="E514" s="233"/>
      <c r="F514" s="234"/>
      <c r="G514" s="235"/>
      <c r="H514" s="234"/>
      <c r="I514" s="236"/>
      <c r="J514" s="235"/>
      <c r="K514" s="237"/>
      <c r="L514" s="224"/>
      <c r="M514" s="451"/>
      <c r="N514" s="226"/>
      <c r="O514" s="452"/>
      <c r="P514" s="207"/>
      <c r="Q514" s="227"/>
      <c r="R514" s="221"/>
      <c r="S514" s="221"/>
      <c r="T514" s="228"/>
      <c r="U514" s="55">
        <f t="shared" si="9"/>
        <v>1.3008627290504997</v>
      </c>
    </row>
    <row r="515" spans="1:21" ht="12">
      <c r="A515" s="473"/>
      <c r="B515" s="474"/>
      <c r="C515" s="475" t="s">
        <v>25</v>
      </c>
      <c r="D515" s="476"/>
      <c r="E515" s="477"/>
      <c r="F515" s="438"/>
      <c r="G515" s="439"/>
      <c r="H515" s="438"/>
      <c r="I515" s="438"/>
      <c r="J515" s="439"/>
      <c r="K515" s="438"/>
      <c r="L515" s="434"/>
      <c r="M515" s="478"/>
      <c r="N515" s="436"/>
      <c r="O515" s="437"/>
      <c r="P515" s="438"/>
      <c r="Q515" s="439"/>
      <c r="R515" s="437"/>
      <c r="S515" s="437"/>
      <c r="T515" s="440">
        <f>SUM(T445:T514)</f>
        <v>0</v>
      </c>
    </row>
    <row r="516" spans="1:21" ht="12">
      <c r="A516" s="479"/>
      <c r="B516" s="480"/>
      <c r="C516" s="481"/>
      <c r="D516" s="482"/>
      <c r="E516" s="483"/>
      <c r="F516" s="484"/>
      <c r="G516" s="485"/>
      <c r="H516" s="484"/>
      <c r="I516" s="484"/>
      <c r="J516" s="485"/>
      <c r="K516" s="484"/>
      <c r="L516" s="486"/>
      <c r="M516" s="487"/>
      <c r="N516" s="488"/>
      <c r="O516" s="489"/>
      <c r="P516" s="484"/>
      <c r="Q516" s="485"/>
      <c r="R516" s="489"/>
      <c r="S516" s="489"/>
      <c r="T516" s="490"/>
    </row>
    <row r="517" spans="1:21" ht="12">
      <c r="A517" s="491"/>
      <c r="B517" s="468"/>
      <c r="C517" s="475" t="s">
        <v>25</v>
      </c>
      <c r="D517" s="492"/>
      <c r="E517" s="493"/>
      <c r="F517" s="207"/>
      <c r="G517" s="208"/>
      <c r="H517" s="207"/>
      <c r="I517" s="207"/>
      <c r="J517" s="208"/>
      <c r="K517" s="207"/>
      <c r="L517" s="224"/>
      <c r="M517" s="451"/>
      <c r="N517" s="226"/>
      <c r="O517" s="452"/>
      <c r="P517" s="207"/>
      <c r="Q517" s="208"/>
      <c r="R517" s="452"/>
      <c r="S517" s="452"/>
      <c r="T517" s="646">
        <v>1</v>
      </c>
    </row>
    <row r="518" spans="1:21">
      <c r="A518" s="491"/>
      <c r="B518" s="468"/>
      <c r="C518" s="495" t="s">
        <v>293</v>
      </c>
      <c r="D518" s="492">
        <v>0.2</v>
      </c>
      <c r="E518" s="493"/>
      <c r="F518" s="207"/>
      <c r="G518" s="208"/>
      <c r="H518" s="207"/>
      <c r="I518" s="207"/>
      <c r="J518" s="208"/>
      <c r="K518" s="207"/>
      <c r="L518" s="224"/>
      <c r="M518" s="451"/>
      <c r="N518" s="226"/>
      <c r="O518" s="452"/>
      <c r="P518" s="207"/>
      <c r="Q518" s="208"/>
      <c r="R518" s="452"/>
      <c r="S518" s="452"/>
      <c r="T518" s="494">
        <f>T517*0.2</f>
        <v>0.2</v>
      </c>
    </row>
    <row r="519" spans="1:21" ht="13.5" thickBot="1">
      <c r="A519" s="491"/>
      <c r="B519" s="468"/>
      <c r="C519" s="495" t="s">
        <v>25</v>
      </c>
      <c r="D519" s="448"/>
      <c r="E519" s="493"/>
      <c r="F519" s="207"/>
      <c r="G519" s="208"/>
      <c r="H519" s="207"/>
      <c r="I519" s="207"/>
      <c r="J519" s="208"/>
      <c r="K519" s="207"/>
      <c r="L519" s="224"/>
      <c r="M519" s="451"/>
      <c r="N519" s="226"/>
      <c r="O519" s="452"/>
      <c r="P519" s="207"/>
      <c r="Q519" s="208"/>
      <c r="R519" s="452"/>
      <c r="S519" s="452"/>
      <c r="T519" s="494">
        <f>T517+T518</f>
        <v>1.2</v>
      </c>
    </row>
    <row r="520" spans="1:21" ht="14.25" thickTop="1" thickBot="1">
      <c r="A520" s="496"/>
      <c r="B520" s="497"/>
      <c r="C520" s="498" t="s">
        <v>28</v>
      </c>
      <c r="D520" s="497"/>
      <c r="E520" s="499"/>
      <c r="F520" s="500"/>
      <c r="G520" s="501"/>
      <c r="H520" s="500"/>
      <c r="I520" s="500"/>
      <c r="J520" s="501"/>
      <c r="K520" s="500"/>
      <c r="L520" s="500"/>
      <c r="M520" s="502"/>
      <c r="N520" s="500"/>
      <c r="O520" s="501"/>
      <c r="P520" s="500"/>
      <c r="Q520" s="501"/>
      <c r="R520" s="501"/>
      <c r="S520" s="501"/>
      <c r="T520" s="503">
        <v>25124.17</v>
      </c>
    </row>
    <row r="521" spans="1:21" ht="13.5" thickTop="1"/>
  </sheetData>
  <mergeCells count="431">
    <mergeCell ref="C4:R4"/>
    <mergeCell ref="E5:R5"/>
    <mergeCell ref="A9:B9"/>
    <mergeCell ref="P9:R9"/>
    <mergeCell ref="E10:G10"/>
    <mergeCell ref="A6:T6"/>
    <mergeCell ref="A8:T8"/>
    <mergeCell ref="D11:F11"/>
    <mergeCell ref="N11:P11"/>
    <mergeCell ref="J13:L13"/>
    <mergeCell ref="Q13:S13"/>
    <mergeCell ref="A15:A19"/>
    <mergeCell ref="B15:B19"/>
    <mergeCell ref="C15:C19"/>
    <mergeCell ref="D15:D19"/>
    <mergeCell ref="E15:E19"/>
    <mergeCell ref="F15:H19"/>
    <mergeCell ref="Q16:Q19"/>
    <mergeCell ref="B20:C20"/>
    <mergeCell ref="C21:C23"/>
    <mergeCell ref="S21:S23"/>
    <mergeCell ref="T21:T23"/>
    <mergeCell ref="L22:L23"/>
    <mergeCell ref="R22:R23"/>
    <mergeCell ref="I15:K19"/>
    <mergeCell ref="L15:Q15"/>
    <mergeCell ref="R15:R19"/>
    <mergeCell ref="S15:S19"/>
    <mergeCell ref="T15:T19"/>
    <mergeCell ref="L16:L19"/>
    <mergeCell ref="M16:M19"/>
    <mergeCell ref="N16:N19"/>
    <mergeCell ref="O16:O19"/>
    <mergeCell ref="P16:P19"/>
    <mergeCell ref="C32:C34"/>
    <mergeCell ref="B37:C37"/>
    <mergeCell ref="B38:B39"/>
    <mergeCell ref="C38:C41"/>
    <mergeCell ref="S38:S41"/>
    <mergeCell ref="T38:T41"/>
    <mergeCell ref="R39:R41"/>
    <mergeCell ref="S32:S34"/>
    <mergeCell ref="C25:C27"/>
    <mergeCell ref="S25:S27"/>
    <mergeCell ref="T25:T27"/>
    <mergeCell ref="L26:L27"/>
    <mergeCell ref="R26:R27"/>
    <mergeCell ref="C29:C30"/>
    <mergeCell ref="S29:S31"/>
    <mergeCell ref="C51:C52"/>
    <mergeCell ref="S51:S52"/>
    <mergeCell ref="T51:T52"/>
    <mergeCell ref="C54:C55"/>
    <mergeCell ref="S54:S55"/>
    <mergeCell ref="T54:T55"/>
    <mergeCell ref="B43:B44"/>
    <mergeCell ref="C43:C46"/>
    <mergeCell ref="S43:S46"/>
    <mergeCell ref="T43:T46"/>
    <mergeCell ref="R44:R46"/>
    <mergeCell ref="C48:C49"/>
    <mergeCell ref="S48:S49"/>
    <mergeCell ref="T48:T49"/>
    <mergeCell ref="C57:C58"/>
    <mergeCell ref="S57:S58"/>
    <mergeCell ref="T57:T58"/>
    <mergeCell ref="C60:C62"/>
    <mergeCell ref="C64:C66"/>
    <mergeCell ref="C68:C70"/>
    <mergeCell ref="S60:S61"/>
    <mergeCell ref="S64:S65"/>
    <mergeCell ref="S68:S69"/>
    <mergeCell ref="T78:T79"/>
    <mergeCell ref="C85:C86"/>
    <mergeCell ref="C88:C89"/>
    <mergeCell ref="S88:S89"/>
    <mergeCell ref="T88:T89"/>
    <mergeCell ref="S85:S86"/>
    <mergeCell ref="C72:C73"/>
    <mergeCell ref="L73:L74"/>
    <mergeCell ref="C75:C77"/>
    <mergeCell ref="L76:L77"/>
    <mergeCell ref="C78:C79"/>
    <mergeCell ref="S78:S79"/>
    <mergeCell ref="S72:S73"/>
    <mergeCell ref="S75:S76"/>
    <mergeCell ref="A82:E84"/>
    <mergeCell ref="S82:T84"/>
    <mergeCell ref="B104:B105"/>
    <mergeCell ref="C104:C107"/>
    <mergeCell ref="S104:S107"/>
    <mergeCell ref="T104:T107"/>
    <mergeCell ref="R105:R107"/>
    <mergeCell ref="C109:C110"/>
    <mergeCell ref="C91:C95"/>
    <mergeCell ref="S91:S95"/>
    <mergeCell ref="T91:T95"/>
    <mergeCell ref="R92:R95"/>
    <mergeCell ref="C97:C101"/>
    <mergeCell ref="S97:S101"/>
    <mergeCell ref="T97:T101"/>
    <mergeCell ref="R98:R101"/>
    <mergeCell ref="C125:C129"/>
    <mergeCell ref="S125:S129"/>
    <mergeCell ref="T125:T129"/>
    <mergeCell ref="R126:R129"/>
    <mergeCell ref="C131:C135"/>
    <mergeCell ref="S131:S135"/>
    <mergeCell ref="T131:T135"/>
    <mergeCell ref="R132:R135"/>
    <mergeCell ref="C112:C113"/>
    <mergeCell ref="C119:C120"/>
    <mergeCell ref="C122:C123"/>
    <mergeCell ref="S122:S123"/>
    <mergeCell ref="T122:T123"/>
    <mergeCell ref="A116:E118"/>
    <mergeCell ref="S116:T118"/>
    <mergeCell ref="C146:C147"/>
    <mergeCell ref="C153:C155"/>
    <mergeCell ref="S153:S155"/>
    <mergeCell ref="T153:T155"/>
    <mergeCell ref="R154:R155"/>
    <mergeCell ref="B138:B139"/>
    <mergeCell ref="C138:C141"/>
    <mergeCell ref="S138:S141"/>
    <mergeCell ref="T138:T141"/>
    <mergeCell ref="R139:R141"/>
    <mergeCell ref="C143:C144"/>
    <mergeCell ref="A150:E152"/>
    <mergeCell ref="S150:T152"/>
    <mergeCell ref="B162:B163"/>
    <mergeCell ref="R162:R163"/>
    <mergeCell ref="B166:C166"/>
    <mergeCell ref="C167:C169"/>
    <mergeCell ref="S167:S169"/>
    <mergeCell ref="T167:T169"/>
    <mergeCell ref="L168:L169"/>
    <mergeCell ref="R168:R169"/>
    <mergeCell ref="C157:C159"/>
    <mergeCell ref="S157:S159"/>
    <mergeCell ref="T157:T159"/>
    <mergeCell ref="R158:R159"/>
    <mergeCell ref="C161:C163"/>
    <mergeCell ref="S161:S163"/>
    <mergeCell ref="T161:T163"/>
    <mergeCell ref="C179:C181"/>
    <mergeCell ref="S179:S180"/>
    <mergeCell ref="T179:T180"/>
    <mergeCell ref="L180:L181"/>
    <mergeCell ref="C183:C185"/>
    <mergeCell ref="S183:S184"/>
    <mergeCell ref="T183:T184"/>
    <mergeCell ref="L184:L185"/>
    <mergeCell ref="C171:C173"/>
    <mergeCell ref="S171:S172"/>
    <mergeCell ref="T171:T172"/>
    <mergeCell ref="L172:L173"/>
    <mergeCell ref="C175:C177"/>
    <mergeCell ref="S175:S176"/>
    <mergeCell ref="T175:T176"/>
    <mergeCell ref="L176:L177"/>
    <mergeCell ref="C197:C199"/>
    <mergeCell ref="S197:S198"/>
    <mergeCell ref="T197:T198"/>
    <mergeCell ref="L198:L199"/>
    <mergeCell ref="C201:C203"/>
    <mergeCell ref="S201:S202"/>
    <mergeCell ref="T201:T202"/>
    <mergeCell ref="L202:L203"/>
    <mergeCell ref="C187:C190"/>
    <mergeCell ref="S187:S188"/>
    <mergeCell ref="T187:T188"/>
    <mergeCell ref="B192:C192"/>
    <mergeCell ref="C193:C195"/>
    <mergeCell ref="S193:S195"/>
    <mergeCell ref="T193:T195"/>
    <mergeCell ref="L194:L195"/>
    <mergeCell ref="R194:R195"/>
    <mergeCell ref="C213:C215"/>
    <mergeCell ref="S213:S214"/>
    <mergeCell ref="T213:T214"/>
    <mergeCell ref="L214:L215"/>
    <mergeCell ref="C217:C220"/>
    <mergeCell ref="S217:S218"/>
    <mergeCell ref="T217:T218"/>
    <mergeCell ref="C205:C207"/>
    <mergeCell ref="S205:S206"/>
    <mergeCell ref="T205:T206"/>
    <mergeCell ref="L206:L207"/>
    <mergeCell ref="C209:C211"/>
    <mergeCell ref="S209:S210"/>
    <mergeCell ref="T209:T210"/>
    <mergeCell ref="L210:L211"/>
    <mergeCell ref="C237:C239"/>
    <mergeCell ref="C241:C243"/>
    <mergeCell ref="S241:S243"/>
    <mergeCell ref="T241:T243"/>
    <mergeCell ref="L242:L243"/>
    <mergeCell ref="R242:R243"/>
    <mergeCell ref="S237:S238"/>
    <mergeCell ref="C224:C226"/>
    <mergeCell ref="C228:C229"/>
    <mergeCell ref="S228:S229"/>
    <mergeCell ref="T228:T229"/>
    <mergeCell ref="C231:C235"/>
    <mergeCell ref="S231:S235"/>
    <mergeCell ref="T231:T235"/>
    <mergeCell ref="R232:R235"/>
    <mergeCell ref="S224:S225"/>
    <mergeCell ref="C253:C255"/>
    <mergeCell ref="S253:S254"/>
    <mergeCell ref="T253:T254"/>
    <mergeCell ref="L254:L255"/>
    <mergeCell ref="C257:C260"/>
    <mergeCell ref="S257:S258"/>
    <mergeCell ref="T257:T258"/>
    <mergeCell ref="C245:C247"/>
    <mergeCell ref="S245:S246"/>
    <mergeCell ref="T245:T246"/>
    <mergeCell ref="L246:L247"/>
    <mergeCell ref="C249:C251"/>
    <mergeCell ref="S249:S251"/>
    <mergeCell ref="T249:T251"/>
    <mergeCell ref="L250:L251"/>
    <mergeCell ref="R250:R251"/>
    <mergeCell ref="A263:C263"/>
    <mergeCell ref="C264:C266"/>
    <mergeCell ref="C268:C269"/>
    <mergeCell ref="S268:S269"/>
    <mergeCell ref="T268:T269"/>
    <mergeCell ref="C271:C275"/>
    <mergeCell ref="S271:S275"/>
    <mergeCell ref="T271:T275"/>
    <mergeCell ref="R272:R275"/>
    <mergeCell ref="S264:S265"/>
    <mergeCell ref="C285:C287"/>
    <mergeCell ref="S285:S286"/>
    <mergeCell ref="T285:T286"/>
    <mergeCell ref="L286:L287"/>
    <mergeCell ref="C289:C291"/>
    <mergeCell ref="S289:S290"/>
    <mergeCell ref="T289:T290"/>
    <mergeCell ref="L290:L291"/>
    <mergeCell ref="C277:C279"/>
    <mergeCell ref="S277:S279"/>
    <mergeCell ref="T277:T279"/>
    <mergeCell ref="L278:L279"/>
    <mergeCell ref="R278:R279"/>
    <mergeCell ref="C281:C283"/>
    <mergeCell ref="S281:S282"/>
    <mergeCell ref="T281:T282"/>
    <mergeCell ref="L282:L283"/>
    <mergeCell ref="C301:C304"/>
    <mergeCell ref="S301:S304"/>
    <mergeCell ref="T301:T304"/>
    <mergeCell ref="R302:R304"/>
    <mergeCell ref="C306:C309"/>
    <mergeCell ref="S306:S307"/>
    <mergeCell ref="T306:T307"/>
    <mergeCell ref="C293:C295"/>
    <mergeCell ref="S293:S294"/>
    <mergeCell ref="T293:T294"/>
    <mergeCell ref="L294:L295"/>
    <mergeCell ref="C297:C299"/>
    <mergeCell ref="S297:S298"/>
    <mergeCell ref="T297:T298"/>
    <mergeCell ref="L298:L299"/>
    <mergeCell ref="C326:C330"/>
    <mergeCell ref="S326:S330"/>
    <mergeCell ref="T326:T330"/>
    <mergeCell ref="R327:R330"/>
    <mergeCell ref="C332:C333"/>
    <mergeCell ref="C335:C336"/>
    <mergeCell ref="S332:S333"/>
    <mergeCell ref="S335:S336"/>
    <mergeCell ref="C311:C314"/>
    <mergeCell ref="S311:S312"/>
    <mergeCell ref="T311:T312"/>
    <mergeCell ref="C320:C321"/>
    <mergeCell ref="C323:C324"/>
    <mergeCell ref="S323:S324"/>
    <mergeCell ref="T323:T324"/>
    <mergeCell ref="S320:S321"/>
    <mergeCell ref="A317:E319"/>
    <mergeCell ref="S317:T319"/>
    <mergeCell ref="B348:B349"/>
    <mergeCell ref="C348:C349"/>
    <mergeCell ref="S348:S349"/>
    <mergeCell ref="T348:T349"/>
    <mergeCell ref="C351:C354"/>
    <mergeCell ref="S351:S353"/>
    <mergeCell ref="T351:T353"/>
    <mergeCell ref="R352:R353"/>
    <mergeCell ref="C338:C342"/>
    <mergeCell ref="S338:S342"/>
    <mergeCell ref="T338:T342"/>
    <mergeCell ref="R339:R342"/>
    <mergeCell ref="B345:B346"/>
    <mergeCell ref="C345:C346"/>
    <mergeCell ref="S345:S346"/>
    <mergeCell ref="T345:T346"/>
    <mergeCell ref="C372:C373"/>
    <mergeCell ref="C375:C379"/>
    <mergeCell ref="S375:S376"/>
    <mergeCell ref="T375:T376"/>
    <mergeCell ref="C381:C383"/>
    <mergeCell ref="C385:C389"/>
    <mergeCell ref="B356:B357"/>
    <mergeCell ref="C356:C360"/>
    <mergeCell ref="S356:S360"/>
    <mergeCell ref="T356:T360"/>
    <mergeCell ref="R357:R360"/>
    <mergeCell ref="B362:B363"/>
    <mergeCell ref="C362:C365"/>
    <mergeCell ref="S362:S363"/>
    <mergeCell ref="T362:T363"/>
    <mergeCell ref="B364:B365"/>
    <mergeCell ref="C391:C392"/>
    <mergeCell ref="C393:C394"/>
    <mergeCell ref="S393:S394"/>
    <mergeCell ref="T393:T394"/>
    <mergeCell ref="C396:C399"/>
    <mergeCell ref="S396:S397"/>
    <mergeCell ref="T396:T397"/>
    <mergeCell ref="L397:L398"/>
    <mergeCell ref="S391:S392"/>
    <mergeCell ref="C411:C413"/>
    <mergeCell ref="S411:S412"/>
    <mergeCell ref="T411:T412"/>
    <mergeCell ref="L412:L413"/>
    <mergeCell ref="C415:C417"/>
    <mergeCell ref="S415:S416"/>
    <mergeCell ref="T415:T416"/>
    <mergeCell ref="L416:L417"/>
    <mergeCell ref="C401:C404"/>
    <mergeCell ref="S401:S402"/>
    <mergeCell ref="T401:T402"/>
    <mergeCell ref="L402:L403"/>
    <mergeCell ref="C406:C409"/>
    <mergeCell ref="S406:S407"/>
    <mergeCell ref="T406:T407"/>
    <mergeCell ref="L407:L408"/>
    <mergeCell ref="S439:S440"/>
    <mergeCell ref="C429:C432"/>
    <mergeCell ref="S429:S430"/>
    <mergeCell ref="T429:T430"/>
    <mergeCell ref="L430:L432"/>
    <mergeCell ref="C434:C437"/>
    <mergeCell ref="S434:S435"/>
    <mergeCell ref="T434:T435"/>
    <mergeCell ref="C419:C422"/>
    <mergeCell ref="S419:S420"/>
    <mergeCell ref="T419:T420"/>
    <mergeCell ref="L420:L422"/>
    <mergeCell ref="C424:C427"/>
    <mergeCell ref="S424:S425"/>
    <mergeCell ref="T424:T425"/>
    <mergeCell ref="L425:L427"/>
    <mergeCell ref="B463:B464"/>
    <mergeCell ref="C463:C465"/>
    <mergeCell ref="S463:S464"/>
    <mergeCell ref="T463:T464"/>
    <mergeCell ref="L464:L465"/>
    <mergeCell ref="C467:C469"/>
    <mergeCell ref="S467:S468"/>
    <mergeCell ref="T467:T468"/>
    <mergeCell ref="L468:L469"/>
    <mergeCell ref="S485:S486"/>
    <mergeCell ref="B479:B480"/>
    <mergeCell ref="C479:C480"/>
    <mergeCell ref="S479:S480"/>
    <mergeCell ref="T479:T480"/>
    <mergeCell ref="B482:B483"/>
    <mergeCell ref="C482:C483"/>
    <mergeCell ref="S482:S483"/>
    <mergeCell ref="C471:C473"/>
    <mergeCell ref="S471:S472"/>
    <mergeCell ref="T471:T472"/>
    <mergeCell ref="L472:L473"/>
    <mergeCell ref="C475:C477"/>
    <mergeCell ref="S475:S476"/>
    <mergeCell ref="T475:T476"/>
    <mergeCell ref="L476:L477"/>
    <mergeCell ref="S454:S455"/>
    <mergeCell ref="B503:B504"/>
    <mergeCell ref="C503:C504"/>
    <mergeCell ref="S503:S504"/>
    <mergeCell ref="T503:T504"/>
    <mergeCell ref="C506:C507"/>
    <mergeCell ref="S506:S507"/>
    <mergeCell ref="B494:B495"/>
    <mergeCell ref="C494:C495"/>
    <mergeCell ref="B497:B498"/>
    <mergeCell ref="C497:C498"/>
    <mergeCell ref="C500:C501"/>
    <mergeCell ref="S500:S501"/>
    <mergeCell ref="S494:S495"/>
    <mergeCell ref="S497:S498"/>
    <mergeCell ref="B485:B486"/>
    <mergeCell ref="C485:C486"/>
    <mergeCell ref="C488:C489"/>
    <mergeCell ref="S488:S489"/>
    <mergeCell ref="T488:T489"/>
    <mergeCell ref="B491:B492"/>
    <mergeCell ref="C491:C492"/>
    <mergeCell ref="S491:S492"/>
    <mergeCell ref="T491:T492"/>
    <mergeCell ref="T443:T444"/>
    <mergeCell ref="S509:S510"/>
    <mergeCell ref="C509:C510"/>
    <mergeCell ref="C512:C513"/>
    <mergeCell ref="S512:S513"/>
    <mergeCell ref="T512:T513"/>
    <mergeCell ref="C370:C371"/>
    <mergeCell ref="C443:E444"/>
    <mergeCell ref="S372:S373"/>
    <mergeCell ref="S381:S382"/>
    <mergeCell ref="S385:S386"/>
    <mergeCell ref="T500:T501"/>
    <mergeCell ref="T454:T455"/>
    <mergeCell ref="C457:C458"/>
    <mergeCell ref="S457:S458"/>
    <mergeCell ref="T457:T458"/>
    <mergeCell ref="C460:C461"/>
    <mergeCell ref="S460:S461"/>
    <mergeCell ref="T460:T461"/>
    <mergeCell ref="C439:C440"/>
    <mergeCell ref="C445:C446"/>
    <mergeCell ref="C448:C449"/>
    <mergeCell ref="C451:C452"/>
    <mergeCell ref="C454:C455"/>
  </mergeCells>
  <pageMargins left="0.7" right="0.19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&amp; Robert</dc:creator>
  <cp:lastModifiedBy>Artyom</cp:lastModifiedBy>
  <cp:lastPrinted>2020-06-04T19:56:00Z</cp:lastPrinted>
  <dcterms:created xsi:type="dcterms:W3CDTF">2000-04-17T03:23:27Z</dcterms:created>
  <dcterms:modified xsi:type="dcterms:W3CDTF">2020-06-10T06:42:03Z</dcterms:modified>
</cp:coreProperties>
</file>